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drawings/drawing3.xml" ContentType="application/vnd.openxmlformats-officedocument.drawing+xml"/>
  <Override PartName="/xl/ctrlProps/ctrlProp4.xml" ContentType="application/vnd.ms-excel.controlpropertie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drawings/drawing6.xml" ContentType="application/vnd.openxmlformats-officedocument.drawing+xml"/>
  <Override PartName="/xl/ctrlProps/ctrlProp7.xml" ContentType="application/vnd.ms-excel.controlproperties+xml"/>
  <Override PartName="/xl/drawings/drawing7.xml" ContentType="application/vnd.openxmlformats-officedocument.drawing+xml"/>
  <Override PartName="/xl/ctrlProps/ctrlProp8.xml" ContentType="application/vnd.ms-excel.controlproperties+xml"/>
  <Override PartName="/xl/drawings/drawing8.xml" ContentType="application/vnd.openxmlformats-officedocument.drawing+xml"/>
  <Override PartName="/xl/ctrlProps/ctrlProp9.xml" ContentType="application/vnd.ms-excel.controlproperties+xml"/>
  <Override PartName="/xl/drawings/drawing9.xml" ContentType="application/vnd.openxmlformats-officedocument.drawing+xml"/>
  <Override PartName="/xl/ctrlProps/ctrlProp10.xml" ContentType="application/vnd.ms-excel.controlproperties+xml"/>
  <Override PartName="/xl/drawings/drawing10.xml" ContentType="application/vnd.openxmlformats-officedocument.drawing+xml"/>
  <Override PartName="/xl/ctrlProps/ctrlProp11.xml" ContentType="application/vnd.ms-excel.controlproperties+xml"/>
  <Override PartName="/xl/drawings/drawing11.xml" ContentType="application/vnd.openxmlformats-officedocument.drawing+xml"/>
  <Override PartName="/xl/ctrlProps/ctrlProp12.xml" ContentType="application/vnd.ms-excel.controlproperties+xml"/>
  <Override PartName="/xl/drawings/drawing12.xml" ContentType="application/vnd.openxmlformats-officedocument.drawing+xml"/>
  <Override PartName="/xl/ctrlProps/ctrlProp13.xml" ContentType="application/vnd.ms-excel.controlproperties+xml"/>
  <Override PartName="/xl/ctrlProps/ctrlProp14.xml" ContentType="application/vnd.ms-excel.controlproperties+xml"/>
  <Override PartName="/xl/drawings/drawing13.xml" ContentType="application/vnd.openxmlformats-officedocument.drawing+xml"/>
  <Override PartName="/xl/ctrlProps/ctrlProp15.xml" ContentType="application/vnd.ms-excel.controlproperties+xml"/>
  <Override PartName="/xl/drawings/drawing14.xml" ContentType="application/vnd.openxmlformats-officedocument.drawing+xml"/>
  <Override PartName="/xl/ctrlProps/ctrlProp16.xml" ContentType="application/vnd.ms-excel.controlproperties+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codeName="{82680DD9-3F13-7979-5B5F-3D2375947C00}"/>
  <workbookPr codeName="ThisWorkbook"/>
  <mc:AlternateContent xmlns:mc="http://schemas.openxmlformats.org/markup-compatibility/2006">
    <mc:Choice Requires="x15">
      <x15ac:absPath xmlns:x15ac="http://schemas.microsoft.com/office/spreadsheetml/2010/11/ac" url="C:\Users\hites\Downloads\"/>
    </mc:Choice>
  </mc:AlternateContent>
  <xr:revisionPtr revIDLastSave="0" documentId="13_ncr:1_{06FCF02C-C597-41B3-AC13-0FAF133F770B}" xr6:coauthVersionLast="47" xr6:coauthVersionMax="47" xr10:uidLastSave="{00000000-0000-0000-0000-000000000000}"/>
  <bookViews>
    <workbookView xWindow="-108" yWindow="-108" windowWidth="23256" windowHeight="12456" firstSheet="20" activeTab="22" xr2:uid="{00000000-000D-0000-FFFF-FFFF00000000}"/>
  </bookViews>
  <sheets>
    <sheet name="Project Info" sheetId="2" r:id="rId1"/>
    <sheet name="Checklist" sheetId="3" r:id="rId2"/>
    <sheet name="SS MR 1" sheetId="4" r:id="rId3"/>
    <sheet name="SS MR 2" sheetId="5" r:id="rId4"/>
    <sheet name="SS MR 3" sheetId="6" r:id="rId5"/>
    <sheet name="SS CR 1" sheetId="7" r:id="rId6"/>
    <sheet name="SS CR 2" sheetId="8" r:id="rId7"/>
    <sheet name="SS CR 3" sheetId="9" r:id="rId8"/>
    <sheet name="SS CR 4" sheetId="10" r:id="rId9"/>
    <sheet name="WC MR 1" sheetId="11" r:id="rId10"/>
    <sheet name="WC MR 2" sheetId="12" r:id="rId11"/>
    <sheet name="WC CR 1" sheetId="13" r:id="rId12"/>
    <sheet name="WC CR 2" sheetId="14" r:id="rId13"/>
    <sheet name="WC CR 3" sheetId="15" r:id="rId14"/>
    <sheet name="WC CR 4" sheetId="16" r:id="rId15"/>
    <sheet name="WC CR 5" sheetId="17" r:id="rId16"/>
    <sheet name="WC CR 6" sheetId="18" r:id="rId17"/>
    <sheet name="WC CR 7" sheetId="19" r:id="rId18"/>
    <sheet name="WC CR 8" sheetId="20" r:id="rId19"/>
    <sheet name="EE MR 1" sheetId="21" r:id="rId20"/>
    <sheet name="EE MR 2" sheetId="22" r:id="rId21"/>
    <sheet name="EE MR 3" sheetId="23" r:id="rId22"/>
    <sheet name="EE CR 1" sheetId="24" r:id="rId23"/>
    <sheet name="EE CR 2" sheetId="25" r:id="rId24"/>
    <sheet name="EE CR 3" sheetId="26" r:id="rId25"/>
    <sheet name="EE CR 4" sheetId="27" r:id="rId26"/>
    <sheet name="EE CR 5" sheetId="28" r:id="rId27"/>
    <sheet name="EE CR 6" sheetId="29" r:id="rId28"/>
    <sheet name="EE CR 7" sheetId="30" r:id="rId29"/>
    <sheet name="EE CR 8" sheetId="31" r:id="rId30"/>
    <sheet name="EE CR 9" sheetId="32" r:id="rId31"/>
    <sheet name="EE CR 10" sheetId="33" r:id="rId32"/>
    <sheet name="MS MR 1" sheetId="34" r:id="rId33"/>
    <sheet name="MS CR 1" sheetId="35" r:id="rId34"/>
    <sheet name="MS CR 2" sheetId="36" r:id="rId35"/>
    <sheet name="MS CR 3" sheetId="37" r:id="rId36"/>
    <sheet name="MS CR 4" sheetId="38" r:id="rId37"/>
    <sheet name="CN CR 2" sheetId="40" r:id="rId38"/>
    <sheet name="CN CR 3" sheetId="41" r:id="rId39"/>
    <sheet name="Local Items" sheetId="66" r:id="rId40"/>
    <sheet name="CN CR 4" sheetId="42" r:id="rId41"/>
    <sheet name="CN CR 5" sheetId="43" r:id="rId42"/>
    <sheet name="EGW MR 1" sheetId="44" r:id="rId43"/>
    <sheet name="EGW MR 2" sheetId="45" r:id="rId44"/>
    <sheet name="EGW CR 1" sheetId="46" r:id="rId45"/>
    <sheet name="EGW CR 2" sheetId="47" r:id="rId46"/>
    <sheet name="EGW CR 4" sheetId="49" r:id="rId47"/>
    <sheet name="EGW CR 5" sheetId="50" r:id="rId48"/>
    <sheet name="EGW CR 6" sheetId="51" r:id="rId49"/>
    <sheet name="EGW CR 7" sheetId="52" r:id="rId50"/>
    <sheet name="EGW CR 8" sheetId="53" r:id="rId51"/>
    <sheet name="EGW CR 9" sheetId="54" r:id="rId52"/>
    <sheet name="HFB CR 1" sheetId="55" r:id="rId53"/>
    <sheet name="HFB CR 2" sheetId="56" r:id="rId54"/>
    <sheet name="F&amp;B sheet" sheetId="69" r:id="rId55"/>
    <sheet name="Animal Products sheet" sheetId="67" r:id="rId56"/>
    <sheet name="HFB CR 3" sheetId="57" r:id="rId57"/>
    <sheet name="GH CR 1" sheetId="58" r:id="rId58"/>
    <sheet name="GH CR 2" sheetId="59" r:id="rId59"/>
    <sheet name="GH CR 3" sheetId="60" r:id="rId60"/>
    <sheet name="GH CR 4" sheetId="61" r:id="rId61"/>
    <sheet name="GH CR 5" sheetId="62" r:id="rId62"/>
    <sheet name="INN CR 1" sheetId="63" r:id="rId63"/>
    <sheet name="INN CR 2" sheetId="64" r:id="rId6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 i="24" l="1"/>
  <c r="E37" i="47"/>
  <c r="C21" i="47"/>
  <c r="C37" i="47"/>
  <c r="H34" i="46"/>
  <c r="E21" i="26"/>
  <c r="H31" i="27"/>
  <c r="H10" i="27"/>
  <c r="H11" i="27"/>
  <c r="H12" i="27"/>
  <c r="H13" i="27"/>
  <c r="H14" i="27"/>
  <c r="H15" i="27"/>
  <c r="H16" i="27"/>
  <c r="H17" i="27"/>
  <c r="H18" i="27"/>
  <c r="H9" i="27"/>
  <c r="D24" i="28"/>
  <c r="D25" i="28"/>
  <c r="D26" i="28"/>
  <c r="D27" i="28"/>
  <c r="D28" i="28"/>
  <c r="D29" i="28"/>
  <c r="D30" i="28"/>
  <c r="D23" i="28"/>
  <c r="P56" i="44"/>
  <c r="E30" i="49"/>
  <c r="E20" i="49"/>
  <c r="J27" i="58"/>
  <c r="E23" i="62"/>
  <c r="E21" i="64"/>
  <c r="E3" i="23"/>
  <c r="F35" i="15"/>
  <c r="F19" i="15"/>
  <c r="D39" i="3" l="1"/>
  <c r="D38" i="3"/>
  <c r="D30" i="3"/>
  <c r="D27" i="3"/>
  <c r="D21" i="3"/>
  <c r="D19" i="3"/>
  <c r="D17" i="3"/>
  <c r="D16" i="3"/>
  <c r="E37" i="42"/>
  <c r="E17" i="40"/>
  <c r="F33" i="15"/>
  <c r="C24" i="3"/>
  <c r="D85" i="3"/>
  <c r="D73" i="3"/>
  <c r="D72" i="3"/>
  <c r="D71" i="3"/>
  <c r="D74" i="3" s="1"/>
  <c r="D81" i="3"/>
  <c r="D80" i="3"/>
  <c r="D78" i="3"/>
  <c r="D67" i="3"/>
  <c r="D66" i="3"/>
  <c r="D65" i="3"/>
  <c r="D63" i="3"/>
  <c r="D59" i="3"/>
  <c r="D43" i="3"/>
  <c r="D54" i="3"/>
  <c r="D52" i="3"/>
  <c r="D37" i="3"/>
  <c r="D14" i="3"/>
  <c r="D15" i="3"/>
  <c r="D20" i="64"/>
  <c r="E22" i="58" l="1"/>
  <c r="C34" i="46"/>
  <c r="F34" i="15"/>
  <c r="F18" i="15"/>
  <c r="D18" i="15"/>
  <c r="F21" i="16"/>
  <c r="F9" i="16"/>
  <c r="F31" i="15"/>
  <c r="F32" i="15"/>
  <c r="D3" i="21"/>
  <c r="E20" i="16"/>
  <c r="F20" i="16" s="1"/>
  <c r="F8" i="15"/>
  <c r="D8" i="15"/>
  <c r="D21" i="38"/>
  <c r="I121" i="17"/>
  <c r="I110" i="17"/>
  <c r="I111" i="17"/>
  <c r="I112" i="17"/>
  <c r="I113" i="17"/>
  <c r="I114" i="17"/>
  <c r="I115" i="17"/>
  <c r="I109" i="17"/>
  <c r="I101" i="17"/>
  <c r="I102" i="17"/>
  <c r="I103" i="17"/>
  <c r="I104" i="17"/>
  <c r="I105" i="17"/>
  <c r="I106" i="17"/>
  <c r="I100" i="17"/>
  <c r="I92" i="17"/>
  <c r="I93" i="17"/>
  <c r="I94" i="17"/>
  <c r="I95" i="17"/>
  <c r="I96" i="17"/>
  <c r="I97" i="17"/>
  <c r="I91" i="17"/>
  <c r="I83" i="17"/>
  <c r="I84" i="17"/>
  <c r="I85" i="17"/>
  <c r="I86" i="17"/>
  <c r="I87" i="17"/>
  <c r="I88" i="17"/>
  <c r="I82" i="17"/>
  <c r="I74" i="17"/>
  <c r="I75" i="17"/>
  <c r="I76" i="17"/>
  <c r="I77" i="17"/>
  <c r="I78" i="17"/>
  <c r="I79" i="17"/>
  <c r="I73" i="17"/>
  <c r="I65" i="17"/>
  <c r="I66" i="17"/>
  <c r="I67" i="17"/>
  <c r="I68" i="17"/>
  <c r="I69" i="17"/>
  <c r="I70" i="17"/>
  <c r="I64" i="17"/>
  <c r="I56" i="17"/>
  <c r="I57" i="17"/>
  <c r="I58" i="17"/>
  <c r="I59" i="17"/>
  <c r="I60" i="17"/>
  <c r="I61" i="17"/>
  <c r="I55" i="17"/>
  <c r="I47" i="17"/>
  <c r="I48" i="17"/>
  <c r="I49" i="17"/>
  <c r="I50" i="17"/>
  <c r="I51" i="17"/>
  <c r="I52" i="17"/>
  <c r="I46" i="17"/>
  <c r="I45" i="17"/>
  <c r="I44" i="17"/>
  <c r="I38" i="17"/>
  <c r="I39" i="17"/>
  <c r="I40" i="17"/>
  <c r="I41" i="17"/>
  <c r="I42" i="17"/>
  <c r="I43" i="17"/>
  <c r="I37" i="17"/>
  <c r="I29" i="17"/>
  <c r="I30" i="17"/>
  <c r="I31" i="17"/>
  <c r="I32" i="17"/>
  <c r="I33" i="17"/>
  <c r="I34" i="17"/>
  <c r="I28" i="17"/>
  <c r="I20" i="17"/>
  <c r="I21" i="17"/>
  <c r="I22" i="17"/>
  <c r="I23" i="17"/>
  <c r="I24" i="17"/>
  <c r="I25" i="17"/>
  <c r="I19" i="17"/>
  <c r="E66" i="13"/>
  <c r="D36" i="13"/>
  <c r="D37" i="13"/>
  <c r="E1" i="10"/>
  <c r="E13" i="6"/>
  <c r="D3" i="6"/>
  <c r="D32" i="63"/>
  <c r="D29" i="3" l="1"/>
  <c r="D23" i="3"/>
  <c r="D22" i="3"/>
  <c r="D5" i="3"/>
  <c r="D6" i="3"/>
  <c r="E58" i="13"/>
  <c r="E41" i="11"/>
  <c r="E42" i="11"/>
  <c r="N26" i="12"/>
  <c r="N25" i="14"/>
  <c r="D10" i="3"/>
  <c r="A10" i="3"/>
  <c r="A9" i="3"/>
  <c r="A8" i="3"/>
  <c r="A7" i="3"/>
  <c r="E41" i="63"/>
  <c r="C1" i="63" s="1"/>
  <c r="E12" i="63"/>
  <c r="E17" i="37"/>
  <c r="D35" i="63" s="1"/>
  <c r="C1" i="64"/>
  <c r="D86" i="3" s="1"/>
  <c r="D87" i="3" s="1"/>
  <c r="E15" i="31"/>
  <c r="C1" i="31" s="1"/>
  <c r="D9" i="62"/>
  <c r="E13" i="61"/>
  <c r="C1" i="61" s="1"/>
  <c r="E9" i="59"/>
  <c r="C1" i="59" s="1"/>
  <c r="I22" i="58"/>
  <c r="J25" i="58" s="1"/>
  <c r="E17" i="57"/>
  <c r="C1" i="57" s="1"/>
  <c r="E17" i="56"/>
  <c r="E16" i="56"/>
  <c r="E10" i="56"/>
  <c r="E9" i="56"/>
  <c r="E20" i="55"/>
  <c r="C1" i="55" s="1"/>
  <c r="E11" i="54"/>
  <c r="E12" i="54" s="1"/>
  <c r="C1" i="54" s="1"/>
  <c r="G29" i="52"/>
  <c r="E18" i="50"/>
  <c r="C1" i="50" s="1"/>
  <c r="E10" i="50"/>
  <c r="E42" i="47"/>
  <c r="E25" i="47"/>
  <c r="E26" i="47"/>
  <c r="E27" i="47"/>
  <c r="E28" i="47"/>
  <c r="E29" i="47"/>
  <c r="E30" i="47"/>
  <c r="E31" i="47"/>
  <c r="E32" i="47"/>
  <c r="E33" i="47"/>
  <c r="E34" i="47"/>
  <c r="E35" i="47"/>
  <c r="E36" i="47"/>
  <c r="E24" i="47"/>
  <c r="E8" i="47"/>
  <c r="E39" i="47"/>
  <c r="E9" i="47"/>
  <c r="E10" i="47"/>
  <c r="E11" i="47"/>
  <c r="E12" i="47"/>
  <c r="E13" i="47"/>
  <c r="E14" i="47"/>
  <c r="E15" i="47"/>
  <c r="E16" i="47"/>
  <c r="E17" i="47"/>
  <c r="E18" i="47"/>
  <c r="E19" i="47"/>
  <c r="E20" i="47"/>
  <c r="H36" i="46"/>
  <c r="O50" i="44"/>
  <c r="P53" i="44" s="1"/>
  <c r="P49" i="44"/>
  <c r="C1" i="43"/>
  <c r="E48" i="42"/>
  <c r="E38" i="42"/>
  <c r="E19" i="37"/>
  <c r="C1" i="37" s="1"/>
  <c r="D46" i="3" s="1"/>
  <c r="E10" i="36"/>
  <c r="D3" i="34"/>
  <c r="E19" i="33"/>
  <c r="E11" i="32"/>
  <c r="E7" i="32"/>
  <c r="C1" i="32" s="1"/>
  <c r="E9" i="29"/>
  <c r="F9" i="29" s="1"/>
  <c r="E10" i="29"/>
  <c r="F10" i="29" s="1"/>
  <c r="K10" i="29"/>
  <c r="E31" i="26"/>
  <c r="E25" i="20"/>
  <c r="E19" i="20"/>
  <c r="C1" i="20" s="1"/>
  <c r="L3" i="16"/>
  <c r="K22" i="16"/>
  <c r="K24" i="16" s="1"/>
  <c r="L27" i="16" s="1"/>
  <c r="E19" i="16"/>
  <c r="F19" i="16" s="1"/>
  <c r="E18" i="16"/>
  <c r="F18" i="16" s="1"/>
  <c r="E17" i="16"/>
  <c r="F17" i="16" s="1"/>
  <c r="E16" i="16"/>
  <c r="F16" i="16" s="1"/>
  <c r="E15" i="16"/>
  <c r="F15" i="16" s="1"/>
  <c r="E14" i="16"/>
  <c r="F14" i="16" s="1"/>
  <c r="E13" i="16"/>
  <c r="F13" i="16" s="1"/>
  <c r="E12" i="16"/>
  <c r="F12" i="16" s="1"/>
  <c r="E11" i="16"/>
  <c r="F11" i="16" s="1"/>
  <c r="E10" i="16"/>
  <c r="F10" i="16" s="1"/>
  <c r="E9" i="16"/>
  <c r="E23" i="15"/>
  <c r="E51" i="11"/>
  <c r="C1" i="9"/>
  <c r="N9" i="8"/>
  <c r="D3" i="4"/>
  <c r="D4" i="3" s="1"/>
  <c r="B18" i="4"/>
  <c r="B14" i="4"/>
  <c r="B13" i="4"/>
  <c r="D10" i="62"/>
  <c r="D11" i="62"/>
  <c r="D12" i="62"/>
  <c r="D13" i="62"/>
  <c r="D14" i="62"/>
  <c r="D15" i="62"/>
  <c r="D16" i="62"/>
  <c r="D17" i="62"/>
  <c r="D18" i="62"/>
  <c r="D19" i="62"/>
  <c r="D8" i="62"/>
  <c r="C1" i="62" s="1"/>
  <c r="J3" i="58"/>
  <c r="B15" i="56"/>
  <c r="B8" i="56"/>
  <c r="B17" i="41"/>
  <c r="H10" i="67"/>
  <c r="H9" i="69"/>
  <c r="H9" i="67"/>
  <c r="H8" i="69"/>
  <c r="F10" i="67"/>
  <c r="F9" i="67"/>
  <c r="F8" i="69"/>
  <c r="I9" i="66"/>
  <c r="F9" i="69"/>
  <c r="C6" i="69"/>
  <c r="C6" i="67"/>
  <c r="H34" i="52"/>
  <c r="G42" i="52" s="1"/>
  <c r="F35" i="52"/>
  <c r="H35" i="52" s="1"/>
  <c r="F36" i="52"/>
  <c r="H36" i="52" s="1"/>
  <c r="F37" i="52"/>
  <c r="H37" i="52" s="1"/>
  <c r="F38" i="52"/>
  <c r="H38" i="52" s="1"/>
  <c r="F39" i="52"/>
  <c r="H39" i="52" s="1"/>
  <c r="F40" i="52"/>
  <c r="H40" i="52" s="1"/>
  <c r="F41" i="52"/>
  <c r="H41" i="52" s="1"/>
  <c r="F34" i="52"/>
  <c r="H10" i="52"/>
  <c r="H11" i="52"/>
  <c r="H12" i="52"/>
  <c r="H13" i="52"/>
  <c r="H14" i="52"/>
  <c r="H15" i="52"/>
  <c r="H16" i="52"/>
  <c r="H9" i="52"/>
  <c r="G17" i="52" s="1"/>
  <c r="D1" i="52" s="1"/>
  <c r="F10" i="52" a="1"/>
  <c r="F11" i="52" a="1"/>
  <c r="F12" i="52" a="1"/>
  <c r="F13" i="52" a="1"/>
  <c r="F14" i="52" a="1"/>
  <c r="F15" i="52" a="1"/>
  <c r="F16" i="52" a="1"/>
  <c r="F9" i="52" a="1"/>
  <c r="E8" i="51"/>
  <c r="E10" i="51" s="1"/>
  <c r="E19" i="51" s="1"/>
  <c r="C1" i="51" s="1"/>
  <c r="D64" i="3" s="1"/>
  <c r="H21" i="46"/>
  <c r="H22" i="46"/>
  <c r="H23" i="46"/>
  <c r="H24" i="46"/>
  <c r="H25" i="46"/>
  <c r="H26" i="46"/>
  <c r="H27" i="46"/>
  <c r="H28" i="46"/>
  <c r="H29" i="46"/>
  <c r="H30" i="46"/>
  <c r="H31" i="46"/>
  <c r="H32" i="46"/>
  <c r="H33" i="46"/>
  <c r="H20" i="46"/>
  <c r="O4" i="44"/>
  <c r="P11" i="44"/>
  <c r="N50" i="44"/>
  <c r="P54" i="44" s="1"/>
  <c r="P48" i="44"/>
  <c r="P47" i="44"/>
  <c r="P46" i="44"/>
  <c r="P45" i="44"/>
  <c r="P44" i="44"/>
  <c r="P43" i="44"/>
  <c r="P42" i="44"/>
  <c r="P41" i="44"/>
  <c r="P40" i="44"/>
  <c r="P39" i="44"/>
  <c r="P38" i="44"/>
  <c r="P37" i="44"/>
  <c r="P36" i="44"/>
  <c r="P35" i="44"/>
  <c r="P34" i="44"/>
  <c r="P33" i="44"/>
  <c r="P32" i="44"/>
  <c r="P31" i="44"/>
  <c r="P30" i="44"/>
  <c r="P29" i="44"/>
  <c r="P28" i="44"/>
  <c r="P27" i="44"/>
  <c r="P26" i="44"/>
  <c r="P25" i="44"/>
  <c r="P24" i="44"/>
  <c r="P23" i="44"/>
  <c r="P22" i="44"/>
  <c r="P21" i="44"/>
  <c r="P20" i="44"/>
  <c r="P19" i="44"/>
  <c r="P18" i="44"/>
  <c r="P17" i="44"/>
  <c r="P16" i="44"/>
  <c r="P15" i="44"/>
  <c r="P14" i="44"/>
  <c r="P13" i="44"/>
  <c r="P12" i="44"/>
  <c r="P10" i="44"/>
  <c r="H10" i="44"/>
  <c r="G50" i="44"/>
  <c r="E50" i="44"/>
  <c r="H49" i="44"/>
  <c r="H48" i="44"/>
  <c r="H47" i="44"/>
  <c r="H46" i="44"/>
  <c r="H45" i="44"/>
  <c r="H44" i="44"/>
  <c r="H43" i="44"/>
  <c r="H42" i="44"/>
  <c r="H41" i="44"/>
  <c r="H40" i="44"/>
  <c r="H39" i="44"/>
  <c r="H38" i="44"/>
  <c r="H37" i="44"/>
  <c r="H36" i="44"/>
  <c r="H35" i="44"/>
  <c r="H34" i="44"/>
  <c r="H33" i="44"/>
  <c r="H32" i="44"/>
  <c r="H31" i="44"/>
  <c r="H30" i="44"/>
  <c r="H29" i="44"/>
  <c r="H28" i="44"/>
  <c r="H27" i="44"/>
  <c r="H26" i="44"/>
  <c r="H25" i="44"/>
  <c r="H24" i="44"/>
  <c r="H23" i="44"/>
  <c r="H22" i="44"/>
  <c r="H21" i="44"/>
  <c r="H20" i="44"/>
  <c r="H19" i="44"/>
  <c r="H18" i="44"/>
  <c r="H17" i="44"/>
  <c r="H16" i="44"/>
  <c r="H15" i="44"/>
  <c r="H14" i="44"/>
  <c r="H13" i="44"/>
  <c r="H12" i="44"/>
  <c r="H11" i="44"/>
  <c r="E21" i="47" l="1"/>
  <c r="E40" i="47" s="1"/>
  <c r="E41" i="47" s="1"/>
  <c r="E43" i="47"/>
  <c r="E44" i="47" s="1"/>
  <c r="D37" i="63" s="1"/>
  <c r="H37" i="46"/>
  <c r="P55" i="44"/>
  <c r="E25" i="42"/>
  <c r="E26" i="42"/>
  <c r="E27" i="42"/>
  <c r="E28" i="42"/>
  <c r="E29" i="42"/>
  <c r="E30" i="42"/>
  <c r="E31" i="42"/>
  <c r="E32" i="42"/>
  <c r="E33" i="42"/>
  <c r="E34" i="42"/>
  <c r="E35" i="42"/>
  <c r="E24" i="42"/>
  <c r="G8" i="66"/>
  <c r="B19" i="41"/>
  <c r="C19" i="41" s="1"/>
  <c r="I8" i="66"/>
  <c r="G9" i="66"/>
  <c r="B20" i="41" s="1"/>
  <c r="C20" i="41" s="1"/>
  <c r="C6" i="66"/>
  <c r="E11" i="41"/>
  <c r="E13" i="41" s="1"/>
  <c r="E11" i="40"/>
  <c r="E21" i="38"/>
  <c r="E24" i="38" s="1"/>
  <c r="E23" i="38"/>
  <c r="E30" i="33"/>
  <c r="C1" i="33" s="1"/>
  <c r="K3" i="36"/>
  <c r="E17" i="36"/>
  <c r="I29" i="36"/>
  <c r="I28" i="36"/>
  <c r="H29" i="36"/>
  <c r="H28" i="36"/>
  <c r="K20" i="36"/>
  <c r="K23" i="36" s="1"/>
  <c r="J20" i="36"/>
  <c r="K22" i="36" s="1"/>
  <c r="M26" i="22"/>
  <c r="E17" i="35"/>
  <c r="E18" i="35"/>
  <c r="E19" i="35"/>
  <c r="E20" i="35"/>
  <c r="E21" i="35"/>
  <c r="E22" i="35"/>
  <c r="E23" i="35"/>
  <c r="D8" i="26"/>
  <c r="F8" i="30"/>
  <c r="F9" i="30"/>
  <c r="F10" i="30"/>
  <c r="F11" i="30"/>
  <c r="F12" i="30"/>
  <c r="F13" i="30"/>
  <c r="F14" i="30"/>
  <c r="F15" i="30"/>
  <c r="F16" i="30"/>
  <c r="F17" i="30"/>
  <c r="F18" i="30"/>
  <c r="F19" i="30"/>
  <c r="J3" i="29"/>
  <c r="K11" i="29"/>
  <c r="K12" i="29" s="1"/>
  <c r="F34" i="29"/>
  <c r="F35" i="29" s="1"/>
  <c r="E20" i="29"/>
  <c r="F20" i="29" s="1"/>
  <c r="E19" i="29"/>
  <c r="F19" i="29" s="1"/>
  <c r="E18" i="29"/>
  <c r="F18" i="29" s="1"/>
  <c r="E17" i="29"/>
  <c r="F17" i="29" s="1"/>
  <c r="E16" i="29"/>
  <c r="F16" i="29" s="1"/>
  <c r="E15" i="29"/>
  <c r="F15" i="29" s="1"/>
  <c r="E14" i="29"/>
  <c r="F14" i="29" s="1"/>
  <c r="E13" i="29"/>
  <c r="F13" i="29" s="1"/>
  <c r="E12" i="29"/>
  <c r="F12" i="29" s="1"/>
  <c r="E11" i="29"/>
  <c r="F11" i="29" s="1"/>
  <c r="K18" i="29"/>
  <c r="E17" i="28"/>
  <c r="E18" i="28"/>
  <c r="E19" i="28"/>
  <c r="D35" i="28"/>
  <c r="D36" i="28"/>
  <c r="D37" i="28"/>
  <c r="D38" i="28"/>
  <c r="D39" i="28"/>
  <c r="D40" i="28"/>
  <c r="D41" i="28"/>
  <c r="D34" i="28"/>
  <c r="D9" i="26"/>
  <c r="D10" i="26"/>
  <c r="D11" i="26"/>
  <c r="D12" i="26"/>
  <c r="D13" i="26"/>
  <c r="D14" i="26"/>
  <c r="D15" i="26"/>
  <c r="D16" i="26"/>
  <c r="D17" i="26"/>
  <c r="D18" i="26"/>
  <c r="D19" i="26"/>
  <c r="S11" i="25"/>
  <c r="S10" i="25"/>
  <c r="N10" i="25"/>
  <c r="N9" i="25"/>
  <c r="I12" i="25"/>
  <c r="I13" i="25"/>
  <c r="I14" i="25"/>
  <c r="I15" i="25"/>
  <c r="I16" i="25"/>
  <c r="I17" i="25"/>
  <c r="I18" i="25"/>
  <c r="I19" i="25"/>
  <c r="I20" i="25"/>
  <c r="I21" i="25"/>
  <c r="I22" i="25"/>
  <c r="I11" i="25"/>
  <c r="H12" i="25"/>
  <c r="H13" i="25"/>
  <c r="H14" i="25"/>
  <c r="H15" i="25"/>
  <c r="H16" i="25"/>
  <c r="H17" i="25"/>
  <c r="H18" i="25"/>
  <c r="H19" i="25"/>
  <c r="H20" i="25"/>
  <c r="H21" i="25"/>
  <c r="H22" i="25"/>
  <c r="H11" i="25"/>
  <c r="G12" i="25"/>
  <c r="G13" i="25"/>
  <c r="G14" i="25"/>
  <c r="G15" i="25"/>
  <c r="G16" i="25"/>
  <c r="G17" i="25"/>
  <c r="G18" i="25"/>
  <c r="G19" i="25"/>
  <c r="G20" i="25"/>
  <c r="G21" i="25"/>
  <c r="G22" i="25"/>
  <c r="G11" i="25"/>
  <c r="F12" i="25"/>
  <c r="F13" i="25"/>
  <c r="F14" i="25"/>
  <c r="F15" i="25"/>
  <c r="F16" i="25"/>
  <c r="F17" i="25"/>
  <c r="F18" i="25"/>
  <c r="F19" i="25"/>
  <c r="F20" i="25"/>
  <c r="F21" i="25"/>
  <c r="F22" i="25"/>
  <c r="F11" i="25"/>
  <c r="E12" i="25"/>
  <c r="E13" i="25"/>
  <c r="E14" i="25"/>
  <c r="E15" i="25"/>
  <c r="E16" i="25"/>
  <c r="E17" i="25"/>
  <c r="E18" i="25"/>
  <c r="E19" i="25"/>
  <c r="E20" i="25"/>
  <c r="E21" i="25"/>
  <c r="E22" i="25"/>
  <c r="E11" i="25"/>
  <c r="D12" i="25"/>
  <c r="D13" i="25"/>
  <c r="D14" i="25"/>
  <c r="D15" i="25"/>
  <c r="D16" i="25"/>
  <c r="D17" i="25"/>
  <c r="D18" i="25"/>
  <c r="D19" i="25"/>
  <c r="D20" i="25"/>
  <c r="D21" i="25"/>
  <c r="D22" i="25"/>
  <c r="D11" i="25"/>
  <c r="C12" i="25"/>
  <c r="C13" i="25"/>
  <c r="C14" i="25"/>
  <c r="C15" i="25"/>
  <c r="C16" i="25"/>
  <c r="C17" i="25"/>
  <c r="C18" i="25"/>
  <c r="C19" i="25"/>
  <c r="C20" i="25"/>
  <c r="C21" i="25"/>
  <c r="C22" i="25"/>
  <c r="C11" i="25"/>
  <c r="E8" i="24"/>
  <c r="E9" i="24"/>
  <c r="E10" i="24"/>
  <c r="E11" i="24"/>
  <c r="E12" i="24"/>
  <c r="E13" i="24"/>
  <c r="E14" i="24"/>
  <c r="E15" i="24"/>
  <c r="E16" i="24"/>
  <c r="E17" i="24"/>
  <c r="E18" i="24"/>
  <c r="E19" i="24"/>
  <c r="E20" i="24"/>
  <c r="E21" i="24"/>
  <c r="E22" i="24"/>
  <c r="E23" i="24"/>
  <c r="E24" i="24"/>
  <c r="E25" i="24"/>
  <c r="E26" i="24"/>
  <c r="E27" i="24"/>
  <c r="E7" i="24"/>
  <c r="F7" i="15"/>
  <c r="N29" i="22"/>
  <c r="N14" i="25" s="1"/>
  <c r="C23" i="20"/>
  <c r="N11" i="17"/>
  <c r="I116" i="17"/>
  <c r="I117" i="17" s="1"/>
  <c r="H115" i="17"/>
  <c r="F115" i="17"/>
  <c r="H114" i="17"/>
  <c r="F114" i="17"/>
  <c r="H113" i="17"/>
  <c r="F113" i="17"/>
  <c r="H112" i="17"/>
  <c r="F112" i="17"/>
  <c r="H111" i="17"/>
  <c r="F111" i="17"/>
  <c r="H110" i="17"/>
  <c r="F110" i="17"/>
  <c r="H109" i="17"/>
  <c r="F109" i="17"/>
  <c r="I107" i="17"/>
  <c r="I108" i="17" s="1"/>
  <c r="H106" i="17"/>
  <c r="F106" i="17"/>
  <c r="H105" i="17"/>
  <c r="F105" i="17"/>
  <c r="H104" i="17"/>
  <c r="F104" i="17"/>
  <c r="H103" i="17"/>
  <c r="F103" i="17"/>
  <c r="H102" i="17"/>
  <c r="F102" i="17"/>
  <c r="H101" i="17"/>
  <c r="F101" i="17"/>
  <c r="H100" i="17"/>
  <c r="F100" i="17"/>
  <c r="I98" i="17"/>
  <c r="I99" i="17" s="1"/>
  <c r="H97" i="17"/>
  <c r="F97" i="17"/>
  <c r="H96" i="17"/>
  <c r="F96" i="17"/>
  <c r="H95" i="17"/>
  <c r="F95" i="17"/>
  <c r="H94" i="17"/>
  <c r="F94" i="17"/>
  <c r="H93" i="17"/>
  <c r="F93" i="17"/>
  <c r="H92" i="17"/>
  <c r="F92" i="17"/>
  <c r="H91" i="17"/>
  <c r="F91" i="17"/>
  <c r="I89" i="17"/>
  <c r="I90" i="17" s="1"/>
  <c r="H88" i="17"/>
  <c r="F88" i="17"/>
  <c r="H87" i="17"/>
  <c r="F87" i="17"/>
  <c r="H86" i="17"/>
  <c r="F86" i="17"/>
  <c r="H85" i="17"/>
  <c r="F85" i="17"/>
  <c r="H84" i="17"/>
  <c r="F84" i="17"/>
  <c r="H83" i="17"/>
  <c r="F83" i="17"/>
  <c r="H82" i="17"/>
  <c r="F82" i="17"/>
  <c r="I80" i="17"/>
  <c r="I81" i="17" s="1"/>
  <c r="H79" i="17"/>
  <c r="F79" i="17"/>
  <c r="H78" i="17"/>
  <c r="F78" i="17"/>
  <c r="H77" i="17"/>
  <c r="F77" i="17"/>
  <c r="H76" i="17"/>
  <c r="F76" i="17"/>
  <c r="H75" i="17"/>
  <c r="F75" i="17"/>
  <c r="H74" i="17"/>
  <c r="F74" i="17"/>
  <c r="H73" i="17"/>
  <c r="F73" i="17"/>
  <c r="I71" i="17"/>
  <c r="I72" i="17" s="1"/>
  <c r="H70" i="17"/>
  <c r="F70" i="17"/>
  <c r="H69" i="17"/>
  <c r="F69" i="17"/>
  <c r="H68" i="17"/>
  <c r="F68" i="17"/>
  <c r="H67" i="17"/>
  <c r="F67" i="17"/>
  <c r="H66" i="17"/>
  <c r="F66" i="17"/>
  <c r="H65" i="17"/>
  <c r="F65" i="17"/>
  <c r="H64" i="17"/>
  <c r="F64" i="17"/>
  <c r="I62" i="17"/>
  <c r="I63" i="17" s="1"/>
  <c r="H61" i="17"/>
  <c r="F61" i="17"/>
  <c r="H60" i="17"/>
  <c r="F60" i="17"/>
  <c r="H59" i="17"/>
  <c r="F59" i="17"/>
  <c r="H58" i="17"/>
  <c r="F58" i="17"/>
  <c r="H57" i="17"/>
  <c r="F57" i="17"/>
  <c r="H56" i="17"/>
  <c r="F56" i="17"/>
  <c r="H55" i="17"/>
  <c r="F55" i="17"/>
  <c r="I53" i="17"/>
  <c r="I54" i="17" s="1"/>
  <c r="H52" i="17"/>
  <c r="F52" i="17"/>
  <c r="H51" i="17"/>
  <c r="F51" i="17"/>
  <c r="H50" i="17"/>
  <c r="F50" i="17"/>
  <c r="H49" i="17"/>
  <c r="F49" i="17"/>
  <c r="H48" i="17"/>
  <c r="F48" i="17"/>
  <c r="H47" i="17"/>
  <c r="F47" i="17"/>
  <c r="H46" i="17"/>
  <c r="F46" i="17"/>
  <c r="H43" i="17"/>
  <c r="F43" i="17"/>
  <c r="H42" i="17"/>
  <c r="F42" i="17"/>
  <c r="H41" i="17"/>
  <c r="F41" i="17"/>
  <c r="H40" i="17"/>
  <c r="F40" i="17"/>
  <c r="H39" i="17"/>
  <c r="F39" i="17"/>
  <c r="H38" i="17"/>
  <c r="F38" i="17"/>
  <c r="H37" i="17"/>
  <c r="F37" i="17"/>
  <c r="I35" i="17"/>
  <c r="I36" i="17" s="1"/>
  <c r="H34" i="17"/>
  <c r="F34" i="17"/>
  <c r="H33" i="17"/>
  <c r="F33" i="17"/>
  <c r="H32" i="17"/>
  <c r="F32" i="17"/>
  <c r="H31" i="17"/>
  <c r="F31" i="17"/>
  <c r="H30" i="17"/>
  <c r="F30" i="17"/>
  <c r="H29" i="17"/>
  <c r="F29" i="17"/>
  <c r="H28" i="17"/>
  <c r="F28" i="17"/>
  <c r="I26" i="17"/>
  <c r="I27" i="17" s="1"/>
  <c r="H25" i="17"/>
  <c r="F25" i="17"/>
  <c r="H24" i="17"/>
  <c r="F24" i="17"/>
  <c r="H23" i="17"/>
  <c r="F23" i="17"/>
  <c r="H22" i="17"/>
  <c r="F22" i="17"/>
  <c r="H21" i="17"/>
  <c r="F21" i="17"/>
  <c r="H20" i="17"/>
  <c r="F20" i="17"/>
  <c r="H19" i="17"/>
  <c r="F19" i="17"/>
  <c r="H16" i="17"/>
  <c r="I16" i="17" s="1"/>
  <c r="H15" i="17"/>
  <c r="I15" i="17" s="1"/>
  <c r="H14" i="17"/>
  <c r="I14" i="17" s="1"/>
  <c r="H13" i="17"/>
  <c r="I13" i="17" s="1"/>
  <c r="H12" i="17"/>
  <c r="I12" i="17" s="1"/>
  <c r="H11" i="17"/>
  <c r="I11" i="17" s="1"/>
  <c r="H10" i="17"/>
  <c r="I10" i="17" s="1"/>
  <c r="E24" i="15"/>
  <c r="F24" i="15" s="1"/>
  <c r="E25" i="15"/>
  <c r="F25" i="15" s="1"/>
  <c r="E26" i="15"/>
  <c r="F26" i="15" s="1"/>
  <c r="E27" i="15"/>
  <c r="F27" i="15" s="1"/>
  <c r="E28" i="15"/>
  <c r="F28" i="15" s="1"/>
  <c r="E29" i="15"/>
  <c r="F29" i="15" s="1"/>
  <c r="E30" i="15"/>
  <c r="F30" i="15" s="1"/>
  <c r="F23" i="15"/>
  <c r="D10" i="15"/>
  <c r="F9" i="15"/>
  <c r="F10" i="15"/>
  <c r="F11" i="15"/>
  <c r="F12" i="15"/>
  <c r="F13" i="15"/>
  <c r="F14" i="15"/>
  <c r="F15" i="15"/>
  <c r="F16" i="15"/>
  <c r="F17" i="15"/>
  <c r="D9" i="15"/>
  <c r="D11" i="15"/>
  <c r="D12" i="15"/>
  <c r="D13" i="15"/>
  <c r="D14" i="15"/>
  <c r="D15" i="15"/>
  <c r="D16" i="15"/>
  <c r="D17" i="15"/>
  <c r="D7" i="15"/>
  <c r="N23" i="14"/>
  <c r="N26" i="14" s="1"/>
  <c r="N27" i="14" s="1"/>
  <c r="E9" i="13"/>
  <c r="E61" i="13"/>
  <c r="E45" i="13"/>
  <c r="E35" i="13"/>
  <c r="E34" i="13"/>
  <c r="E33" i="13"/>
  <c r="E32" i="13"/>
  <c r="E31" i="13"/>
  <c r="E30" i="13"/>
  <c r="E29" i="13"/>
  <c r="E28" i="13"/>
  <c r="E27" i="13"/>
  <c r="E26" i="13"/>
  <c r="E25" i="13"/>
  <c r="E24" i="13"/>
  <c r="E23" i="13"/>
  <c r="E22" i="13"/>
  <c r="E21" i="13"/>
  <c r="E20" i="13"/>
  <c r="E19" i="13"/>
  <c r="E18" i="13"/>
  <c r="E17" i="13"/>
  <c r="D52" i="13"/>
  <c r="D51" i="13"/>
  <c r="D50" i="13"/>
  <c r="D49" i="13"/>
  <c r="D48" i="13"/>
  <c r="N24" i="12"/>
  <c r="N27" i="12" s="1"/>
  <c r="L3" i="8"/>
  <c r="G15" i="8"/>
  <c r="F13" i="8"/>
  <c r="N35" i="8"/>
  <c r="N36" i="8" s="1"/>
  <c r="L34" i="8"/>
  <c r="L32" i="8"/>
  <c r="L30" i="8"/>
  <c r="N22" i="8"/>
  <c r="M20" i="8"/>
  <c r="E10" i="53"/>
  <c r="E11" i="53" s="1"/>
  <c r="C1" i="53" s="1"/>
  <c r="E10" i="49"/>
  <c r="E12" i="60"/>
  <c r="C1" i="60" s="1"/>
  <c r="D79" i="3" s="1"/>
  <c r="E22" i="55"/>
  <c r="D3" i="45" a="1"/>
  <c r="E12" i="35"/>
  <c r="E33" i="38"/>
  <c r="E34" i="38" s="1"/>
  <c r="C1" i="27" l="1"/>
  <c r="D33" i="3" s="1"/>
  <c r="E24" i="35"/>
  <c r="C1" i="35" s="1"/>
  <c r="D44" i="3" s="1"/>
  <c r="F21" i="29"/>
  <c r="D1" i="29" s="1"/>
  <c r="E25" i="38"/>
  <c r="E27" i="38" s="1"/>
  <c r="C1" i="38" s="1"/>
  <c r="D47" i="3" s="1"/>
  <c r="J26" i="58"/>
  <c r="J28" i="58" s="1"/>
  <c r="D1" i="58" s="1"/>
  <c r="E62" i="13"/>
  <c r="E51" i="13"/>
  <c r="E49" i="13"/>
  <c r="E48" i="13"/>
  <c r="E53" i="13" s="1"/>
  <c r="E52" i="13"/>
  <c r="E50" i="13"/>
  <c r="D27" i="63"/>
  <c r="N29" i="14"/>
  <c r="K24" i="36"/>
  <c r="N27" i="22"/>
  <c r="N30" i="22" s="1"/>
  <c r="N15" i="25" s="1"/>
  <c r="M16" i="25" s="1"/>
  <c r="N11" i="25"/>
  <c r="E22" i="26"/>
  <c r="E43" i="28" a="1"/>
  <c r="F20" i="30"/>
  <c r="C1" i="30" s="1"/>
  <c r="D36" i="3" s="1"/>
  <c r="E39" i="42"/>
  <c r="E40" i="42" s="1"/>
  <c r="E41" i="42" s="1"/>
  <c r="K3" i="44"/>
  <c r="D58" i="3" s="1"/>
  <c r="E45" i="47"/>
  <c r="C1" i="47" s="1"/>
  <c r="D61" i="3" s="1"/>
  <c r="D38" i="63"/>
  <c r="E11" i="49"/>
  <c r="C1" i="49" s="1"/>
  <c r="D62" i="3" s="1"/>
  <c r="I17" i="17"/>
  <c r="I18" i="17" s="1"/>
  <c r="G16" i="8"/>
  <c r="F17" i="8" s="1"/>
  <c r="N23" i="8"/>
  <c r="N37" i="8" s="1"/>
  <c r="N41" i="8" s="1"/>
  <c r="K25" i="36"/>
  <c r="K28" i="36" s="1"/>
  <c r="D1" i="36" s="1"/>
  <c r="D45" i="3" s="1"/>
  <c r="K26" i="36"/>
  <c r="I118" i="17"/>
  <c r="I119" i="17" s="1"/>
  <c r="E36" i="13"/>
  <c r="D48" i="3" l="1"/>
  <c r="D35" i="3"/>
  <c r="J34" i="29"/>
  <c r="D77" i="3"/>
  <c r="D82" i="3" s="1"/>
  <c r="E63" i="13"/>
  <c r="E55" i="13"/>
  <c r="E60" i="13" s="1"/>
  <c r="H122" i="17"/>
  <c r="D29" i="63"/>
  <c r="E19" i="36"/>
  <c r="K33" i="36"/>
  <c r="D28" i="63" l="1"/>
  <c r="H38" i="46"/>
  <c r="H39" i="46" s="1"/>
  <c r="H12" i="46"/>
  <c r="E49" i="42"/>
  <c r="E15" i="42"/>
  <c r="E17" i="42" s="1"/>
  <c r="C1" i="42" s="1"/>
  <c r="D53" i="3" s="1"/>
  <c r="E19" i="41"/>
  <c r="E8" i="66"/>
  <c r="E9" i="66"/>
  <c r="E10" i="66"/>
  <c r="E11" i="66"/>
  <c r="E12" i="66"/>
  <c r="E13" i="66"/>
  <c r="E14" i="66"/>
  <c r="E15" i="66"/>
  <c r="E16" i="66"/>
  <c r="E17" i="66"/>
  <c r="E18" i="66"/>
  <c r="E19" i="66"/>
  <c r="E20" i="66"/>
  <c r="E21" i="66"/>
  <c r="E22" i="66"/>
  <c r="E23" i="66"/>
  <c r="E24" i="66"/>
  <c r="E25" i="66"/>
  <c r="E26" i="66"/>
  <c r="E27" i="66"/>
  <c r="E28" i="66"/>
  <c r="E29" i="66"/>
  <c r="E30" i="66"/>
  <c r="E31" i="66"/>
  <c r="E32" i="66"/>
  <c r="E33" i="66"/>
  <c r="E34" i="66"/>
  <c r="E35" i="66"/>
  <c r="E36" i="66"/>
  <c r="E37" i="66"/>
  <c r="E38" i="66"/>
  <c r="E39" i="66"/>
  <c r="E40" i="66"/>
  <c r="E41" i="66"/>
  <c r="E42" i="66"/>
  <c r="E43" i="66"/>
  <c r="E44" i="66"/>
  <c r="E45" i="66"/>
  <c r="E46" i="66"/>
  <c r="E47" i="66"/>
  <c r="E48" i="66"/>
  <c r="E49" i="66"/>
  <c r="E50" i="66"/>
  <c r="E51" i="66"/>
  <c r="E52" i="66"/>
  <c r="E53" i="66"/>
  <c r="E54" i="66"/>
  <c r="E55" i="66"/>
  <c r="E56" i="66"/>
  <c r="E57" i="66"/>
  <c r="E58" i="66"/>
  <c r="E59" i="66"/>
  <c r="E60" i="66"/>
  <c r="E61" i="66"/>
  <c r="E62" i="66"/>
  <c r="E63" i="66"/>
  <c r="E64" i="66"/>
  <c r="E65" i="66"/>
  <c r="E66" i="66"/>
  <c r="E67" i="66"/>
  <c r="E68" i="66"/>
  <c r="E69" i="66"/>
  <c r="E70" i="66"/>
  <c r="E71" i="66"/>
  <c r="E72" i="66"/>
  <c r="E73" i="66"/>
  <c r="E74" i="66"/>
  <c r="E75" i="66"/>
  <c r="E76" i="66"/>
  <c r="E77" i="66"/>
  <c r="E78" i="66"/>
  <c r="E79" i="66"/>
  <c r="E80" i="66"/>
  <c r="E81" i="66"/>
  <c r="E82" i="66"/>
  <c r="E83" i="66"/>
  <c r="E84" i="66"/>
  <c r="E85" i="66"/>
  <c r="E86" i="66"/>
  <c r="E87" i="66"/>
  <c r="E88" i="66"/>
  <c r="E89" i="66"/>
  <c r="E90" i="66"/>
  <c r="E91" i="66"/>
  <c r="E92" i="66"/>
  <c r="E93" i="66"/>
  <c r="E94" i="66"/>
  <c r="E95" i="66"/>
  <c r="E96" i="66"/>
  <c r="E97" i="66"/>
  <c r="E98" i="66"/>
  <c r="E99" i="66"/>
  <c r="E100" i="66"/>
  <c r="E101" i="66"/>
  <c r="E102" i="66"/>
  <c r="E103" i="66"/>
  <c r="E104" i="66"/>
  <c r="E105" i="66"/>
  <c r="E106" i="66"/>
  <c r="E107" i="66"/>
  <c r="E108" i="66"/>
  <c r="E109" i="66"/>
  <c r="E110" i="66"/>
  <c r="E111" i="66"/>
  <c r="E112" i="66"/>
  <c r="E113" i="66"/>
  <c r="E114" i="66"/>
  <c r="E115" i="66"/>
  <c r="E116" i="66"/>
  <c r="E117" i="66"/>
  <c r="E118" i="66"/>
  <c r="E119" i="66"/>
  <c r="E120" i="66"/>
  <c r="E121" i="66"/>
  <c r="E122" i="66"/>
  <c r="E123" i="66"/>
  <c r="E7" i="66"/>
  <c r="E124" i="66"/>
  <c r="E125" i="66"/>
  <c r="E126" i="66"/>
  <c r="E127" i="66"/>
  <c r="E128" i="66"/>
  <c r="E129" i="66"/>
  <c r="E130" i="66"/>
  <c r="E131" i="66"/>
  <c r="E132" i="66"/>
  <c r="E133" i="66"/>
  <c r="E134" i="66"/>
  <c r="E135" i="66"/>
  <c r="E136" i="66"/>
  <c r="E137" i="66"/>
  <c r="E138" i="66"/>
  <c r="D36" i="63" l="1"/>
  <c r="G13" i="46"/>
  <c r="D1" i="46" s="1"/>
  <c r="D60" i="3" s="1"/>
  <c r="D68" i="3" s="1"/>
  <c r="E20" i="41"/>
  <c r="E21" i="41" s="1"/>
  <c r="D33" i="63" l="1"/>
  <c r="E23" i="41"/>
  <c r="C1" i="41" s="1"/>
  <c r="E26" i="41" s="1"/>
  <c r="Q1" i="25" l="1"/>
  <c r="S3" i="25"/>
  <c r="G29" i="25" a="1"/>
  <c r="G30" i="22" a="1"/>
  <c r="I23" i="25"/>
  <c r="I25" i="25" s="1"/>
  <c r="H23" i="25"/>
  <c r="H25" i="25" s="1"/>
  <c r="G23" i="25"/>
  <c r="G25" i="25" s="1"/>
  <c r="F23" i="25"/>
  <c r="F25" i="25" s="1"/>
  <c r="E23" i="25"/>
  <c r="E25" i="25" s="1"/>
  <c r="D23" i="25"/>
  <c r="D25" i="25" s="1"/>
  <c r="F24" i="22"/>
  <c r="E24" i="22"/>
  <c r="E20" i="40" s="1"/>
  <c r="I24" i="22"/>
  <c r="I26" i="22" s="1"/>
  <c r="H24" i="22"/>
  <c r="H26" i="22" s="1"/>
  <c r="G24" i="22"/>
  <c r="G26" i="22" s="1"/>
  <c r="F26" i="22" l="1"/>
  <c r="E21" i="40"/>
  <c r="E22" i="40" s="1"/>
  <c r="E23" i="40" s="1"/>
  <c r="D25" i="40" s="1"/>
  <c r="D26" i="25"/>
  <c r="E27" i="25"/>
  <c r="G30" i="25" s="1"/>
  <c r="G31" i="25" s="1"/>
  <c r="D23" i="63" s="1"/>
  <c r="F32" i="25" l="1"/>
  <c r="E9" i="40"/>
  <c r="E12" i="40" s="1"/>
  <c r="E13" i="40" s="1"/>
  <c r="C1" i="40" s="1"/>
  <c r="D51" i="3" s="1"/>
  <c r="D55" i="3" s="1"/>
  <c r="G42" i="10"/>
  <c r="S4" i="22"/>
  <c r="S12" i="25"/>
  <c r="R13" i="25" s="1"/>
  <c r="N12" i="25"/>
  <c r="S13" i="22"/>
  <c r="H13" i="14"/>
  <c r="H12" i="14"/>
  <c r="H11" i="14"/>
  <c r="E32" i="14" s="1"/>
  <c r="H14" i="12"/>
  <c r="H13" i="12"/>
  <c r="H12" i="12"/>
  <c r="E32" i="12" s="1"/>
  <c r="G32" i="12" s="1"/>
  <c r="G37" i="8"/>
  <c r="G38" i="8" s="1"/>
  <c r="F39" i="8" s="1"/>
  <c r="E36" i="8"/>
  <c r="E34" i="8"/>
  <c r="E32" i="8"/>
  <c r="M3" i="17"/>
  <c r="N12" i="17"/>
  <c r="N14" i="17" s="1"/>
  <c r="D1" i="17" s="1"/>
  <c r="D20" i="3" s="1"/>
  <c r="D24" i="3" s="1"/>
  <c r="M3" i="14"/>
  <c r="E30" i="11"/>
  <c r="E29" i="11"/>
  <c r="D3" i="5"/>
  <c r="F1" i="8" l="1"/>
  <c r="D8" i="3" s="1"/>
  <c r="E21" i="14"/>
  <c r="I21" i="14" s="1"/>
  <c r="L126" i="17"/>
  <c r="I1" i="25"/>
  <c r="D31" i="3" s="1"/>
  <c r="E28" i="14"/>
  <c r="I28" i="14" s="1"/>
  <c r="E29" i="14"/>
  <c r="I29" i="14" s="1"/>
  <c r="E30" i="14"/>
  <c r="I30" i="14" s="1"/>
  <c r="E27" i="20"/>
  <c r="E19" i="14"/>
  <c r="I19" i="14" s="1"/>
  <c r="E18" i="14"/>
  <c r="I18" i="14" s="1"/>
  <c r="G32" i="14"/>
  <c r="I32" i="14"/>
  <c r="E33" i="14"/>
  <c r="I33" i="14" s="1"/>
  <c r="E31" i="14"/>
  <c r="I31" i="14" s="1"/>
  <c r="I34" i="14" s="1"/>
  <c r="E34" i="12"/>
  <c r="I34" i="12" s="1"/>
  <c r="H15" i="12"/>
  <c r="E30" i="12"/>
  <c r="G30" i="12" s="1"/>
  <c r="E29" i="12"/>
  <c r="G29" i="12" s="1"/>
  <c r="E31" i="12"/>
  <c r="I31" i="12" s="1"/>
  <c r="E33" i="12"/>
  <c r="I33" i="12" s="1"/>
  <c r="E22" i="12"/>
  <c r="G22" i="12" s="1"/>
  <c r="E24" i="12"/>
  <c r="I24" i="12" s="1"/>
  <c r="E23" i="12"/>
  <c r="G23" i="12" s="1"/>
  <c r="E21" i="12"/>
  <c r="E19" i="12"/>
  <c r="G19" i="12" s="1"/>
  <c r="E20" i="12"/>
  <c r="G28" i="14"/>
  <c r="G21" i="14"/>
  <c r="I32" i="12"/>
  <c r="H14" i="14"/>
  <c r="E22" i="14" s="1"/>
  <c r="I22" i="14" s="1"/>
  <c r="M4" i="12"/>
  <c r="L47" i="8" l="1"/>
  <c r="G33" i="12"/>
  <c r="G22" i="14"/>
  <c r="G18" i="14"/>
  <c r="G30" i="14"/>
  <c r="G29" i="14"/>
  <c r="G19" i="14"/>
  <c r="G33" i="14"/>
  <c r="G31" i="14"/>
  <c r="G34" i="14" s="1"/>
  <c r="E23" i="14"/>
  <c r="E20" i="14"/>
  <c r="G34" i="12"/>
  <c r="G24" i="12"/>
  <c r="I30" i="12"/>
  <c r="I29" i="12"/>
  <c r="G31" i="12"/>
  <c r="I23" i="12"/>
  <c r="I22" i="12"/>
  <c r="I19" i="12"/>
  <c r="I20" i="12"/>
  <c r="G20" i="12"/>
  <c r="I21" i="12"/>
  <c r="G21" i="12"/>
  <c r="G35" i="12" l="1"/>
  <c r="G23" i="14"/>
  <c r="I23" i="14"/>
  <c r="I20" i="14"/>
  <c r="G20" i="14"/>
  <c r="I35" i="12"/>
  <c r="E7" i="18" s="1"/>
  <c r="G25" i="12"/>
  <c r="I25" i="12"/>
  <c r="G24" i="14"/>
  <c r="E26" i="7"/>
  <c r="E27" i="7"/>
  <c r="F11" i="11"/>
  <c r="F12" i="11"/>
  <c r="F13" i="11"/>
  <c r="F14" i="11"/>
  <c r="F15" i="11"/>
  <c r="F16" i="11"/>
  <c r="F17" i="11"/>
  <c r="F18" i="11"/>
  <c r="F19" i="11"/>
  <c r="F20" i="11"/>
  <c r="F21" i="11"/>
  <c r="F22" i="11"/>
  <c r="F23" i="11"/>
  <c r="F24" i="11"/>
  <c r="F25" i="11"/>
  <c r="F26" i="11"/>
  <c r="F27" i="11"/>
  <c r="F28" i="11"/>
  <c r="E39" i="38"/>
  <c r="E26" i="37"/>
  <c r="E9" i="7"/>
  <c r="E18" i="7"/>
  <c r="B17" i="4"/>
  <c r="I24" i="14" l="1"/>
  <c r="I35" i="14" s="1"/>
  <c r="D35" i="14"/>
  <c r="I36" i="12"/>
  <c r="D36" i="12"/>
  <c r="E28" i="7"/>
  <c r="A86" i="3"/>
  <c r="A85" i="3"/>
  <c r="A81" i="3"/>
  <c r="A80" i="3"/>
  <c r="A79" i="3"/>
  <c r="A78" i="3"/>
  <c r="A77" i="3"/>
  <c r="A73" i="3"/>
  <c r="A72" i="3"/>
  <c r="A71" i="3"/>
  <c r="A67" i="3"/>
  <c r="A66" i="3"/>
  <c r="A65" i="3"/>
  <c r="A64" i="3"/>
  <c r="A63" i="3"/>
  <c r="A62" i="3"/>
  <c r="A61" i="3"/>
  <c r="A60" i="3"/>
  <c r="A59" i="3"/>
  <c r="A58" i="3"/>
  <c r="A54" i="3"/>
  <c r="A53" i="3"/>
  <c r="A52" i="3"/>
  <c r="A51" i="3"/>
  <c r="A47" i="3"/>
  <c r="A46" i="3"/>
  <c r="A45" i="3"/>
  <c r="A44" i="3"/>
  <c r="A43" i="3"/>
  <c r="A39" i="3"/>
  <c r="A38" i="3"/>
  <c r="A37" i="3"/>
  <c r="A36" i="3"/>
  <c r="A35" i="3"/>
  <c r="A34" i="3"/>
  <c r="A33" i="3"/>
  <c r="A32" i="3"/>
  <c r="A31" i="3"/>
  <c r="A30" i="3"/>
  <c r="A29" i="3"/>
  <c r="A28" i="3"/>
  <c r="A27" i="3"/>
  <c r="A23" i="3"/>
  <c r="A22" i="3"/>
  <c r="A21" i="3"/>
  <c r="A20" i="3"/>
  <c r="A19" i="3"/>
  <c r="A18" i="3"/>
  <c r="A17" i="3"/>
  <c r="A16" i="3"/>
  <c r="A15" i="3"/>
  <c r="A14" i="3"/>
  <c r="A6" i="3"/>
  <c r="A5" i="3"/>
  <c r="A4" i="3"/>
  <c r="E36" i="14" l="1"/>
  <c r="E37" i="12"/>
  <c r="J3" i="12"/>
  <c r="H38" i="14" l="1"/>
  <c r="E1" i="14" s="1"/>
  <c r="D26" i="63"/>
  <c r="E11" i="28"/>
  <c r="E12" i="28" s="1"/>
  <c r="C1" i="28" s="1"/>
  <c r="D34" i="3" s="1"/>
  <c r="E11" i="7"/>
  <c r="E26" i="22" l="1"/>
  <c r="D24" i="22"/>
  <c r="D26" i="22" s="1"/>
  <c r="D27" i="22" s="1"/>
  <c r="E28" i="22" l="1"/>
  <c r="G31" i="22" s="1"/>
  <c r="G32" i="22" s="1"/>
  <c r="M3" i="22" s="1"/>
  <c r="D28" i="3" s="1"/>
  <c r="E64" i="13" l="1"/>
  <c r="E65" i="13" s="1"/>
  <c r="E3" i="64" l="1"/>
  <c r="E1" i="64"/>
  <c r="E23" i="64"/>
  <c r="E3" i="63"/>
  <c r="E1" i="63"/>
  <c r="E43" i="63"/>
  <c r="E3" i="62"/>
  <c r="E1" i="62"/>
  <c r="E24" i="62"/>
  <c r="E3" i="61"/>
  <c r="E1" i="61"/>
  <c r="E15" i="61"/>
  <c r="E3" i="60"/>
  <c r="E1" i="60"/>
  <c r="E14" i="60"/>
  <c r="E3" i="59"/>
  <c r="E1" i="59"/>
  <c r="E10" i="59"/>
  <c r="E3" i="57"/>
  <c r="E1" i="57"/>
  <c r="E19" i="57"/>
  <c r="E18" i="56"/>
  <c r="E19" i="56" s="1"/>
  <c r="E11" i="56"/>
  <c r="E12" i="56" s="1"/>
  <c r="C1" i="56" s="1"/>
  <c r="E3" i="56"/>
  <c r="E1" i="56"/>
  <c r="E3" i="55"/>
  <c r="E1" i="55"/>
  <c r="E3" i="54"/>
  <c r="E1" i="54"/>
  <c r="E19" i="54"/>
  <c r="E3" i="53"/>
  <c r="E1" i="53"/>
  <c r="E13" i="53"/>
  <c r="H3" i="52"/>
  <c r="H1" i="52"/>
  <c r="H44" i="52"/>
  <c r="E3" i="51"/>
  <c r="E1" i="51"/>
  <c r="E20" i="51"/>
  <c r="E3" i="50"/>
  <c r="E1" i="50"/>
  <c r="E19" i="50"/>
  <c r="E3" i="49"/>
  <c r="E1" i="49"/>
  <c r="E31" i="49"/>
  <c r="E3" i="47"/>
  <c r="E1" i="47"/>
  <c r="E51" i="47"/>
  <c r="H40" i="46"/>
  <c r="H3" i="46"/>
  <c r="H1" i="46"/>
  <c r="E4" i="45"/>
  <c r="E3" i="43"/>
  <c r="E1" i="43"/>
  <c r="E14" i="43"/>
  <c r="E3" i="42"/>
  <c r="E1" i="42"/>
  <c r="E50" i="42"/>
  <c r="E3" i="41"/>
  <c r="E1" i="41"/>
  <c r="E3" i="40"/>
  <c r="E1" i="40"/>
  <c r="E3" i="38"/>
  <c r="E1" i="38"/>
  <c r="E3" i="37"/>
  <c r="E1" i="37"/>
  <c r="E3" i="35"/>
  <c r="E1" i="35"/>
  <c r="E25" i="35"/>
  <c r="E4" i="34"/>
  <c r="E3" i="33"/>
  <c r="E1" i="33"/>
  <c r="E32" i="33"/>
  <c r="E3" i="32"/>
  <c r="E1" i="32"/>
  <c r="E13" i="32"/>
  <c r="E3" i="31"/>
  <c r="E1" i="31"/>
  <c r="E17" i="31"/>
  <c r="F3" i="30"/>
  <c r="F1" i="30"/>
  <c r="F22" i="30"/>
  <c r="E3" i="28"/>
  <c r="E1" i="28"/>
  <c r="E45" i="28"/>
  <c r="H3" i="27"/>
  <c r="H32" i="27"/>
  <c r="E23" i="26"/>
  <c r="D3" i="26"/>
  <c r="E1" i="26"/>
  <c r="E3" i="24"/>
  <c r="E1" i="24"/>
  <c r="E32" i="24"/>
  <c r="F4" i="23"/>
  <c r="E4" i="21"/>
  <c r="E3" i="20"/>
  <c r="E10" i="19"/>
  <c r="E4" i="19"/>
  <c r="E3" i="19"/>
  <c r="E1" i="19"/>
  <c r="E3" i="18"/>
  <c r="E1" i="18"/>
  <c r="F3" i="15"/>
  <c r="F1" i="15"/>
  <c r="E3" i="13"/>
  <c r="E1" i="13"/>
  <c r="D45" i="11"/>
  <c r="D44" i="11"/>
  <c r="D43" i="11"/>
  <c r="D42" i="11"/>
  <c r="D41" i="11"/>
  <c r="F38" i="11"/>
  <c r="E10" i="13" s="1"/>
  <c r="E38" i="11"/>
  <c r="F10" i="11"/>
  <c r="F4" i="11"/>
  <c r="F3" i="11"/>
  <c r="G3" i="10"/>
  <c r="G1" i="10"/>
  <c r="E3" i="9"/>
  <c r="E1" i="9"/>
  <c r="D9" i="3"/>
  <c r="D33" i="7"/>
  <c r="E20" i="7"/>
  <c r="D22" i="7" s="1"/>
  <c r="D18" i="63" s="1"/>
  <c r="D13" i="7"/>
  <c r="D17" i="63" s="1"/>
  <c r="E3" i="7"/>
  <c r="E1" i="7"/>
  <c r="E4" i="6"/>
  <c r="E3" i="6"/>
  <c r="E4" i="5"/>
  <c r="E3" i="5"/>
  <c r="E4" i="4"/>
  <c r="E3" i="4"/>
  <c r="C87" i="3"/>
  <c r="C82" i="3"/>
  <c r="C74" i="3"/>
  <c r="C68" i="3"/>
  <c r="C55" i="3"/>
  <c r="C48" i="3"/>
  <c r="C40" i="3"/>
  <c r="C11" i="3"/>
  <c r="E12" i="19" l="1"/>
  <c r="C1" i="19" s="1"/>
  <c r="D31" i="63"/>
  <c r="E27" i="26"/>
  <c r="C1" i="26" s="1"/>
  <c r="D20" i="63"/>
  <c r="E20" i="56"/>
  <c r="E30" i="40"/>
  <c r="E45" i="11"/>
  <c r="D3" i="19"/>
  <c r="E15" i="19"/>
  <c r="E43" i="11"/>
  <c r="F29" i="11"/>
  <c r="E48" i="11" s="1"/>
  <c r="E14" i="9"/>
  <c r="D14" i="7"/>
  <c r="D30" i="7"/>
  <c r="D31" i="7"/>
  <c r="E44" i="11"/>
  <c r="D32" i="7"/>
  <c r="E33" i="26" l="1"/>
  <c r="D32" i="3"/>
  <c r="D40" i="3" s="1"/>
  <c r="C1" i="7"/>
  <c r="D7" i="3" s="1"/>
  <c r="D11" i="3" s="1"/>
  <c r="D19" i="63"/>
  <c r="E11" i="13"/>
  <c r="E12" i="13" s="1"/>
  <c r="E13" i="13" s="1"/>
  <c r="E14" i="13" s="1"/>
  <c r="E46" i="11"/>
  <c r="E8" i="13" s="1"/>
  <c r="C1" i="13" l="1"/>
  <c r="D25" i="63"/>
  <c r="E9" i="18"/>
  <c r="E3" i="11"/>
  <c r="E35" i="7"/>
  <c r="E74" i="13" l="1"/>
  <c r="D30" i="63"/>
  <c r="E10" i="18"/>
  <c r="C1" i="18" s="1"/>
  <c r="E12" i="18" l="1"/>
  <c r="D1" i="16" l="1"/>
  <c r="K29" i="16" s="1"/>
  <c r="D1" i="15" l="1"/>
  <c r="D18" i="3" s="1"/>
  <c r="D88" i="3" s="1"/>
  <c r="D91" i="3" s="1"/>
  <c r="D94" i="3" l="1"/>
  <c r="D92" i="3"/>
  <c r="D93"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<sst xmlns="http://schemas.openxmlformats.org/spreadsheetml/2006/main" count="4323" uniqueCount="1682">
  <si>
    <t>Project Name</t>
  </si>
  <si>
    <t>Registration Number</t>
  </si>
  <si>
    <t>Hotel Type</t>
  </si>
  <si>
    <t>IGBC Green Hotels Checklist</t>
  </si>
  <si>
    <t>Sustainable Sites</t>
  </si>
  <si>
    <t>Existing Hotel</t>
  </si>
  <si>
    <t>Points Attempted</t>
  </si>
  <si>
    <t>SS MR 1</t>
  </si>
  <si>
    <t>Statutory Compliances</t>
  </si>
  <si>
    <t>MR</t>
  </si>
  <si>
    <t>SS MR 2</t>
  </si>
  <si>
    <t>Soil Erosion Control</t>
  </si>
  <si>
    <t>SS MR 3</t>
  </si>
  <si>
    <t>Universal Design</t>
  </si>
  <si>
    <t>SS Credit 1</t>
  </si>
  <si>
    <t>Sustainable Landscape</t>
  </si>
  <si>
    <t>SS Credit 2</t>
  </si>
  <si>
    <t>Heat Island Reduction, Roof &amp; Non-roof</t>
  </si>
  <si>
    <t>SS Credit 3</t>
  </si>
  <si>
    <t>Nocturnal Environment Protection</t>
  </si>
  <si>
    <t>SS Credit 4</t>
  </si>
  <si>
    <t>Climate Resilience and Mitigation</t>
  </si>
  <si>
    <t>Category Total</t>
  </si>
  <si>
    <t>Water Conservation</t>
  </si>
  <si>
    <t>WC MR 1</t>
  </si>
  <si>
    <t>Rainwater Harvesting</t>
  </si>
  <si>
    <t>WC MR 2</t>
  </si>
  <si>
    <t>Water Efficiency</t>
  </si>
  <si>
    <t>Enhanced Rainwater Harvesting</t>
  </si>
  <si>
    <t>WC Credit 2</t>
  </si>
  <si>
    <t>Enhanced Water Efficiency</t>
  </si>
  <si>
    <t>WC Credit 3</t>
  </si>
  <si>
    <t>Water Efficient Dishwashing Systems</t>
  </si>
  <si>
    <t>WC Credit 4</t>
  </si>
  <si>
    <t>Water Efficient Laundry Systems</t>
  </si>
  <si>
    <t>WC Credit 5</t>
  </si>
  <si>
    <t>Irrigation Management</t>
  </si>
  <si>
    <t>WC Credit 6</t>
  </si>
  <si>
    <t>Waste Water Treatment</t>
  </si>
  <si>
    <t>WC Credit 7</t>
  </si>
  <si>
    <t>Alternative Water Performance</t>
  </si>
  <si>
    <t>WC Credit 8</t>
  </si>
  <si>
    <t>Water Metering and Management</t>
  </si>
  <si>
    <t>Energy Efficiency</t>
  </si>
  <si>
    <t>EE MR 1</t>
  </si>
  <si>
    <t>Eco-Friendly Refrigerant</t>
  </si>
  <si>
    <t>EE MR 2</t>
  </si>
  <si>
    <t>Minimum Energy Performance</t>
  </si>
  <si>
    <t>EE MR 3</t>
  </si>
  <si>
    <t>Commissioning Plan for Building Equipment &amp; Systems</t>
  </si>
  <si>
    <t>EE Credit 1</t>
  </si>
  <si>
    <t>Enhanced Eco-Friendly Refrigerant</t>
  </si>
  <si>
    <t>EE Credit 2</t>
  </si>
  <si>
    <t>Enhanced Energy Performance</t>
  </si>
  <si>
    <t>EE Credit 3</t>
  </si>
  <si>
    <t>Energy Efficient Kitchen System</t>
  </si>
  <si>
    <t>EE Credit 4</t>
  </si>
  <si>
    <t>Energy Efficient Cold Room</t>
  </si>
  <si>
    <t>EE Credit 5</t>
  </si>
  <si>
    <t>Domestic Hot Water System</t>
  </si>
  <si>
    <t>EE Credit 6</t>
  </si>
  <si>
    <t>Energy Efficient Laundry System</t>
  </si>
  <si>
    <t>EE Credit 7</t>
  </si>
  <si>
    <t>Energy Efficient Dishwashing System</t>
  </si>
  <si>
    <t>EE Credit 8</t>
  </si>
  <si>
    <t>Energy Recovery Systems</t>
  </si>
  <si>
    <t>EE Credit 9</t>
  </si>
  <si>
    <t>Periodic Energy Assessment</t>
  </si>
  <si>
    <t>EE Credit 10</t>
  </si>
  <si>
    <t>Energy Performance</t>
  </si>
  <si>
    <t>Material Stewardship</t>
  </si>
  <si>
    <t>MS MR 1</t>
  </si>
  <si>
    <t>Waste Segregation &amp; Circularity</t>
  </si>
  <si>
    <t>MS Credit 1</t>
  </si>
  <si>
    <t>Sustainable Procurement</t>
  </si>
  <si>
    <t>MS Credit 2</t>
  </si>
  <si>
    <t>Waste Footprint Reduction</t>
  </si>
  <si>
    <t>MS Credit 3</t>
  </si>
  <si>
    <t>Green Products</t>
  </si>
  <si>
    <t>MS Credit 4</t>
  </si>
  <si>
    <t>Organic Waste Management</t>
  </si>
  <si>
    <t>Carbon Neutrality</t>
  </si>
  <si>
    <t>CN Credit 2</t>
  </si>
  <si>
    <t>Green Power</t>
  </si>
  <si>
    <t>CN Credit 3</t>
  </si>
  <si>
    <t>Promotion of Local Economy</t>
  </si>
  <si>
    <t>CN Credit 4</t>
  </si>
  <si>
    <t>Sustainable Transportation</t>
  </si>
  <si>
    <t>CN Credit 5</t>
  </si>
  <si>
    <t>GHG Inventorisation and Roadmap</t>
  </si>
  <si>
    <t>Environment for Guest Wellbeing</t>
  </si>
  <si>
    <t>EGW MR 1</t>
  </si>
  <si>
    <t>Minimum Fresh Air Ventilation</t>
  </si>
  <si>
    <t>EGW MR 2</t>
  </si>
  <si>
    <t>Tobacco Smoke Control</t>
  </si>
  <si>
    <t>EGW Credit 1</t>
  </si>
  <si>
    <t>Daylighting</t>
  </si>
  <si>
    <t>EGW Credit 2</t>
  </si>
  <si>
    <t>Connectivity with Nature</t>
  </si>
  <si>
    <t>EGW Credit 4</t>
  </si>
  <si>
    <t>Wellbeing Facilities</t>
  </si>
  <si>
    <t>EGW Credit 5</t>
  </si>
  <si>
    <t>Vernacular Art and Culture</t>
  </si>
  <si>
    <t>EGW Credit 6</t>
  </si>
  <si>
    <t>Inclusive Guest Experience</t>
  </si>
  <si>
    <t>EGW Credit 7</t>
  </si>
  <si>
    <t>IEQ Monitoring and Management</t>
  </si>
  <si>
    <t>EGW Credit 8</t>
  </si>
  <si>
    <t>Guest Comfort Feedback</t>
  </si>
  <si>
    <t>EGW Credit 9</t>
  </si>
  <si>
    <t>Green Education</t>
  </si>
  <si>
    <t>Healthy Food and Beverages</t>
  </si>
  <si>
    <t>HFB Credit 1</t>
  </si>
  <si>
    <t>Drinking Water Quality</t>
  </si>
  <si>
    <t>HFB Credit 2</t>
  </si>
  <si>
    <t>Responsible Sourcing for Food &amp; Beverage</t>
  </si>
  <si>
    <t>HFB Credit 3</t>
  </si>
  <si>
    <t>Wellness Menu</t>
  </si>
  <si>
    <t>Green Housekeeping</t>
  </si>
  <si>
    <t>GH Credit 1</t>
  </si>
  <si>
    <t>Chemical Footprint Reduction</t>
  </si>
  <si>
    <t>GH Credit 2</t>
  </si>
  <si>
    <t>Sustainable Linen Policy</t>
  </si>
  <si>
    <t>GH Credit 3</t>
  </si>
  <si>
    <t>Wellness Toiletries</t>
  </si>
  <si>
    <t>GH Credit 4</t>
  </si>
  <si>
    <t>Swimming Pool for Guest Wellness</t>
  </si>
  <si>
    <t>GH Credit 5</t>
  </si>
  <si>
    <t>Organic Fertilizers</t>
  </si>
  <si>
    <t>Innovation and Exemplary Performance</t>
  </si>
  <si>
    <t>INN Credit 1</t>
  </si>
  <si>
    <t>INN Credit 2</t>
  </si>
  <si>
    <t>IGBC Accredited Professional</t>
  </si>
  <si>
    <t>TOTAL</t>
  </si>
  <si>
    <t>☑</t>
  </si>
  <si>
    <t>Mandotory Requirement</t>
  </si>
  <si>
    <t>Compliance Status</t>
  </si>
  <si>
    <t>✓</t>
  </si>
  <si>
    <t>Option 1 - Building Approvals</t>
  </si>
  <si>
    <t>☐</t>
  </si>
  <si>
    <t>Approved site plan (and/ or) building plans for construction, as applicable</t>
  </si>
  <si>
    <t>Occupancy certificate from Local Authority</t>
  </si>
  <si>
    <t>Pollution Control Board (PCB) License - Consent to Establish (CTE) and Consent to</t>
  </si>
  <si>
    <t>CRZ clearance from MoEFCC, if applicable</t>
  </si>
  <si>
    <t>Option 2 - Food service</t>
  </si>
  <si>
    <t>Food Safety and Standards Authority of India (FSSAI) License</t>
  </si>
  <si>
    <t>Supporting documents provided to substantiate the claim:</t>
  </si>
  <si>
    <t>Additional documents submitted if any (Please Specify)</t>
  </si>
  <si>
    <t>Option 1 - Construction Phase - Erosion and Sediment control</t>
  </si>
  <si>
    <t>Soil erosion control measures taken during and after construction (post-occupancy)</t>
  </si>
  <si>
    <t>Option 2 - Post-Construction Erosion Stabilisation &amp; Control</t>
  </si>
  <si>
    <t>Natural Vegetation</t>
  </si>
  <si>
    <t>Storm water channels with sediment traps/ check dams</t>
  </si>
  <si>
    <t>Soil stabilizers/ binders to enhance the cohesion of the soil</t>
  </si>
  <si>
    <t>Silt fences, Erosion control blankets, or Mats</t>
  </si>
  <si>
    <t>Dedicated Parking for Differently Abled: Preferential parking for differently-abled individuals shall be provided in accordance with NBC 2016 – (Part 3, Annexure B-3.2)</t>
  </si>
  <si>
    <t>Easy access to the main entrance of the building.</t>
  </si>
  <si>
    <t>Non-slippery ramps, with handrails on at least one side (as applicable).</t>
  </si>
  <si>
    <t>Braille and audio assistance in lifts for visually impaired people</t>
  </si>
  <si>
    <t>Uniformity in floor level for hindrance-free movement in common areas &amp; exterior areas.</t>
  </si>
  <si>
    <t>Provide minimum one unisex wheelchair user accessible restroom that shall conform to NBC 2016</t>
  </si>
  <si>
    <t>Main walkways / pathways with adequate width in exterior areas</t>
  </si>
  <si>
    <t>Visual warning signage in common areas &amp; exterior areas</t>
  </si>
  <si>
    <t>Points</t>
  </si>
  <si>
    <t>Max. Required</t>
  </si>
  <si>
    <t>Option 1 – Natural Topology and Vegetation</t>
  </si>
  <si>
    <t>Total Site Area</t>
  </si>
  <si>
    <t>sq.m</t>
  </si>
  <si>
    <t>Native / Adaptive Green Cover Area</t>
  </si>
  <si>
    <t>Calculated Percentage</t>
  </si>
  <si>
    <t>%</t>
  </si>
  <si>
    <t>Points awarded</t>
  </si>
  <si>
    <t>&gt;15%</t>
  </si>
  <si>
    <t>&gt;20%</t>
  </si>
  <si>
    <t>Option 2 – Tree Saplings</t>
  </si>
  <si>
    <t>Site Area</t>
  </si>
  <si>
    <t>Trees / Saplings Provided</t>
  </si>
  <si>
    <t>Nos.</t>
  </si>
  <si>
    <t>Total trees per 80 sq.m</t>
  </si>
  <si>
    <t>Required Trees (1 per 80 sq.m)</t>
  </si>
  <si>
    <t>Option 3 – Landscape Area per Guest Room</t>
  </si>
  <si>
    <t>Total Landscape Area</t>
  </si>
  <si>
    <t>Guest Rooms</t>
  </si>
  <si>
    <t>Landscape Area / Guest Room</t>
  </si>
  <si>
    <t>sq.m/room</t>
  </si>
  <si>
    <t>3-Star &amp; below ≥5 m²/room</t>
  </si>
  <si>
    <t>3-Star &amp; below ≥7 m²/room</t>
  </si>
  <si>
    <t>4/5-Star ≥10 m²/room</t>
  </si>
  <si>
    <t>4/5-Star ≥12 m²/room</t>
  </si>
  <si>
    <t>Total score</t>
  </si>
  <si>
    <t>Option 1 - Non-Roof Impervious Area Calculation</t>
  </si>
  <si>
    <t>Total Non-Roof Impervious Area</t>
  </si>
  <si>
    <t>Area with UHI Mitigation</t>
  </si>
  <si>
    <t>Option 2 - Roof Area UHI Calculation</t>
  </si>
  <si>
    <t>Total Exposed Roof Area</t>
  </si>
  <si>
    <t>Lighting Parameter</t>
  </si>
  <si>
    <t>Project Value</t>
  </si>
  <si>
    <t>Upward Light Ratio</t>
  </si>
  <si>
    <t>≤ 0.5%</t>
  </si>
  <si>
    <t>Correlated Colour Temperature</t>
  </si>
  <si>
    <t>≤ 3000 K</t>
  </si>
  <si>
    <t>Adjustable fixture angle</t>
  </si>
  <si>
    <t>Maximum ±10°</t>
  </si>
  <si>
    <t>Light direction and Luminaire specification</t>
  </si>
  <si>
    <t>Narrow beam angles</t>
  </si>
  <si>
    <t>Adaptive control</t>
  </si>
  <si>
    <t>Optional</t>
  </si>
  <si>
    <t>Signage lighting</t>
  </si>
  <si>
    <t>Select Case A or Case B. The corresponding requirements will be displayed below.</t>
  </si>
  <si>
    <t>Roof / Surface Type</t>
  </si>
  <si>
    <t>Runoff Coefficient</t>
  </si>
  <si>
    <t>Area (sq.m)</t>
  </si>
  <si>
    <t>Impervious Area (sq.m)</t>
  </si>
  <si>
    <t>Total Impervious Area</t>
  </si>
  <si>
    <t>Average Peak Monthy Rainfall (mm) (Last 5 years)</t>
  </si>
  <si>
    <t>Sl.No</t>
  </si>
  <si>
    <t>Year</t>
  </si>
  <si>
    <t>Peak Month</t>
  </si>
  <si>
    <t>Peak Rainfall (mm)</t>
  </si>
  <si>
    <t>Last 5 Years Average Peak Month Rainfall (mm)</t>
  </si>
  <si>
    <t>Average Peak Month Rainfall (mm)</t>
  </si>
  <si>
    <t>One-day Rainfall (% of Peak Month)</t>
  </si>
  <si>
    <t>Minimum Rainfall Intensity (mm/day)</t>
  </si>
  <si>
    <t>Up to 250</t>
  </si>
  <si>
    <t>251–350</t>
  </si>
  <si>
    <t>351–500</t>
  </si>
  <si>
    <t>501–700</t>
  </si>
  <si>
    <t>701 &amp; above</t>
  </si>
  <si>
    <t>Minimum Rainfall Intensity (mm/day) to Consider</t>
  </si>
  <si>
    <t>Runoff Volume = Area × Coefficient × Rainfall</t>
  </si>
  <si>
    <t>Case B: High Groundwater Table: In areas where the Central / State Ground Water Board does not recommend artificial rain water recharge (or) if the groundwater is less than 8 meters, the project is required to provide justification for not implementing rainwater harvesting system</t>
  </si>
  <si>
    <t>Option 1 - Water Efficient Plumbing Fixtures:</t>
  </si>
  <si>
    <t>Use Water efficient plumbing fixtures with flow rates to meet the baseline criteria individually or in aggregate. The total annual water consumption of the facility should not exceed the total base case water consumption</t>
  </si>
  <si>
    <t>Fixture Type</t>
  </si>
  <si>
    <t>Duration</t>
  </si>
  <si>
    <t>Base Case</t>
  </si>
  <si>
    <t>Proposed Case</t>
  </si>
  <si>
    <t>Flow rate</t>
  </si>
  <si>
    <t>Total Daily Water</t>
  </si>
  <si>
    <t>Water Closets (Full-flush) – Male &amp; Female</t>
  </si>
  <si>
    <t>1 Flush</t>
  </si>
  <si>
    <t>Water Closets (Half-flush) – Female</t>
  </si>
  <si>
    <t>Urinals – Male</t>
  </si>
  <si>
    <t>Faucets / Taps</t>
  </si>
  <si>
    <t>15 seconds</t>
  </si>
  <si>
    <t>Showers / Handheld Spray</t>
  </si>
  <si>
    <t>8 minutes</t>
  </si>
  <si>
    <t>Health Faucets</t>
  </si>
  <si>
    <t>Kitchen sink</t>
  </si>
  <si>
    <t>Baseline Consumption</t>
  </si>
  <si>
    <t>Proposed Consumption</t>
  </si>
  <si>
    <t>Baseline Annual Water Use (L/year)</t>
  </si>
  <si>
    <t>Proposed Annual Water Use (L/year)</t>
  </si>
  <si>
    <t>Potable Water Savings</t>
  </si>
  <si>
    <t>Annual Water Consumption</t>
  </si>
  <si>
    <t>litres</t>
  </si>
  <si>
    <t>Annual Guest Nights</t>
  </si>
  <si>
    <t>guest nights</t>
  </si>
  <si>
    <t>litres/guest night</t>
  </si>
  <si>
    <t>Max Required</t>
  </si>
  <si>
    <t>WC Cr. 1</t>
  </si>
  <si>
    <t>Points Earned</t>
  </si>
  <si>
    <t>1 Point</t>
  </si>
  <si>
    <t>2 Points</t>
  </si>
  <si>
    <t>3 Points</t>
  </si>
  <si>
    <t>12%</t>
  </si>
  <si>
    <t>15%</t>
  </si>
  <si>
    <t>18%</t>
  </si>
  <si>
    <t>10%</t>
  </si>
  <si>
    <t>12.5%</t>
  </si>
  <si>
    <t>8%</t>
  </si>
  <si>
    <t>6%</t>
  </si>
  <si>
    <t>7.5%</t>
  </si>
  <si>
    <t>9%</t>
  </si>
  <si>
    <t>4%</t>
  </si>
  <si>
    <t>5%</t>
  </si>
  <si>
    <t>Designed One-day Rainfall Capture (mm)</t>
  </si>
  <si>
    <t>Runoff-volume calculations</t>
  </si>
  <si>
    <t>litres/year</t>
  </si>
  <si>
    <t>&gt;5%</t>
  </si>
  <si>
    <t>&gt;10%</t>
  </si>
  <si>
    <t>Baseline WUI (L/guest-night)</t>
  </si>
  <si>
    <t>WUI Savings</t>
  </si>
  <si>
    <t>Option 1 - Efficient Dishwasher</t>
  </si>
  <si>
    <t>Undercounter</t>
  </si>
  <si>
    <t xml:space="preserve"> </t>
  </si>
  <si>
    <t>Option 2 - Efficient Pot and Pan washer</t>
  </si>
  <si>
    <t>Option 1 - Laundry washer</t>
  </si>
  <si>
    <t>Annual water consumption from all laundry system</t>
  </si>
  <si>
    <t>Litres</t>
  </si>
  <si>
    <t>Water laundry performance</t>
  </si>
  <si>
    <t xml:space="preserve">L/kg </t>
  </si>
  <si>
    <t>Laundry Water Recycling</t>
  </si>
  <si>
    <t>Option 1 - Landscape design</t>
  </si>
  <si>
    <t>Plant Species</t>
  </si>
  <si>
    <t>Lawns (ground/podium)</t>
  </si>
  <si>
    <t>Native / naturalized shrubs</t>
  </si>
  <si>
    <t>Exotic shrubs</t>
  </si>
  <si>
    <t>Native trees on ground</t>
  </si>
  <si>
    <t>Fully grown existing native trees</t>
  </si>
  <si>
    <t>Native trees on podium</t>
  </si>
  <si>
    <t>Exotic trees on podium</t>
  </si>
  <si>
    <t>Sprinkler</t>
  </si>
  <si>
    <t>Landscape Area</t>
  </si>
  <si>
    <t>20%</t>
  </si>
  <si>
    <t>Wastewater Treatment</t>
  </si>
  <si>
    <t>Total Wastewater Generated</t>
  </si>
  <si>
    <t>Required</t>
  </si>
  <si>
    <t>Alternate Water Performance</t>
  </si>
  <si>
    <t>Total Water Consumption</t>
  </si>
  <si>
    <t>Alternate Water Consumption</t>
  </si>
  <si>
    <t>Alternate Water %</t>
  </si>
  <si>
    <t>&gt;35%</t>
  </si>
  <si>
    <t>&gt;50%</t>
  </si>
  <si>
    <t>Option 1 - Water monitoring</t>
  </si>
  <si>
    <t>Option 2 - Water dashboard</t>
  </si>
  <si>
    <t>Minimum smart meters integrated</t>
  </si>
  <si>
    <t>Applicable Max</t>
  </si>
  <si>
    <t>Composite</t>
  </si>
  <si>
    <t>kWh</t>
  </si>
  <si>
    <t>Electric Cooking Equipment</t>
  </si>
  <si>
    <t>Storage Temp Range °C</t>
  </si>
  <si>
    <t>-30 to -20</t>
  </si>
  <si>
    <t>-20 to -15</t>
  </si>
  <si>
    <t>-15 to -4</t>
  </si>
  <si>
    <t>-4 to 2</t>
  </si>
  <si>
    <t>2 to 10</t>
  </si>
  <si>
    <t>10 to 16</t>
  </si>
  <si>
    <t>16 and above</t>
  </si>
  <si>
    <t>Requirement</t>
  </si>
  <si>
    <t>Air Source Heat Pump</t>
  </si>
  <si>
    <t>COP ≥3.5</t>
  </si>
  <si>
    <t>Water Source Heat Pump</t>
  </si>
  <si>
    <t>COP ≥4.5</t>
  </si>
  <si>
    <t>Ground Source Heat Pump</t>
  </si>
  <si>
    <t>COP ≥3.0</t>
  </si>
  <si>
    <t>≥0.63 kWh/kg</t>
  </si>
  <si>
    <t>≥0.56 kWh/kg</t>
  </si>
  <si>
    <t>≥0.58 kWh/kg</t>
  </si>
  <si>
    <t>≥0.64 kWh/kg</t>
  </si>
  <si>
    <t>Low Temperature Laundry</t>
  </si>
  <si>
    <t>HVAC system</t>
  </si>
  <si>
    <t>Monitoring Type</t>
  </si>
  <si>
    <t>Luxury Hotel</t>
  </si>
  <si>
    <t>Business Hotel</t>
  </si>
  <si>
    <t>Total Annual Energy Consumption</t>
  </si>
  <si>
    <t>kWh/year</t>
  </si>
  <si>
    <t>Renewable Energy %</t>
  </si>
  <si>
    <t>40%</t>
  </si>
  <si>
    <t>60%</t>
  </si>
  <si>
    <t>80%</t>
  </si>
  <si>
    <t>90%</t>
  </si>
  <si>
    <t>Location Type</t>
  </si>
  <si>
    <t>Local Employment Radius</t>
  </si>
  <si>
    <t>Hilly / arid / semi-arid</t>
  </si>
  <si>
    <t>150 km</t>
  </si>
  <si>
    <t>200 km</t>
  </si>
  <si>
    <t>All other hotels</t>
  </si>
  <si>
    <t>100 km</t>
  </si>
  <si>
    <t>50 km</t>
  </si>
  <si>
    <t>Transport Measure</t>
  </si>
  <si>
    <t>Public transport</t>
  </si>
  <si>
    <t>Low-emitting guest transport</t>
  </si>
  <si>
    <t>Low-emitting staff shuttle</t>
  </si>
  <si>
    <t>Credit points</t>
  </si>
  <si>
    <t>Demonstrate that dedicated smoking rooms are designed with an effective tobacco: smoke capture and removal system and complies with the following:</t>
  </si>
  <si>
    <t>Total Guest / Regularly Occupied Area</t>
  </si>
  <si>
    <t>Area meeting daylight requirement</t>
  </si>
  <si>
    <t>Threshold</t>
  </si>
  <si>
    <t>Option 1: Apply vernacular materials or traditional construction techniques (e.g., bamboo, cane,</t>
  </si>
  <si>
    <t>Option 1: terracotta, local stone) in interior or architectural features. (OR)</t>
  </si>
  <si>
    <t>Option 2: Local Culture &amp; Experience Credit Point: 1</t>
  </si>
  <si>
    <t>IAQ Parameter</t>
  </si>
  <si>
    <t>CO₂</t>
  </si>
  <si>
    <t>Ambient + 500 ppm</t>
  </si>
  <si>
    <t>PM2.5</t>
  </si>
  <si>
    <t>&lt;25 µg/m³</t>
  </si>
  <si>
    <t>PM10</t>
  </si>
  <si>
    <t>&lt;100 µg/m³</t>
  </si>
  <si>
    <t>TVOC</t>
  </si>
  <si>
    <t>&lt;400 µg/m³</t>
  </si>
  <si>
    <t>CO</t>
  </si>
  <si>
    <t>&lt;9 ppm</t>
  </si>
  <si>
    <t>NO₂</t>
  </si>
  <si>
    <t>&lt;80 µg/m³</t>
  </si>
  <si>
    <t>SO₂</t>
  </si>
  <si>
    <t>Space</t>
  </si>
  <si>
    <t>Recommended RT</t>
  </si>
  <si>
    <t>Guest rooms / suites</t>
  </si>
  <si>
    <t>0.4–0.6 s</t>
  </si>
  <si>
    <t>Corridors</t>
  </si>
  <si>
    <t>0.6–0.8 s</t>
  </si>
  <si>
    <t>Lobby / reception</t>
  </si>
  <si>
    <t>0.8–1.2 s</t>
  </si>
  <si>
    <t>Restaurants / dining</t>
  </si>
  <si>
    <t>0.8–1.0 s</t>
  </si>
  <si>
    <t>Conference / meeting</t>
  </si>
  <si>
    <t>Banquet halls</t>
  </si>
  <si>
    <t>1.0–1.5 s</t>
  </si>
  <si>
    <t>Business centre / offices</t>
  </si>
  <si>
    <t>Spa / relaxation</t>
  </si>
  <si>
    <t>Drinking Water Characteristic</t>
  </si>
  <si>
    <t>Acceptable Limit</t>
  </si>
  <si>
    <t>Colour</t>
  </si>
  <si>
    <t>5 Hazen Units</t>
  </si>
  <si>
    <t>Odour</t>
  </si>
  <si>
    <t>Nil</t>
  </si>
  <si>
    <t>pH</t>
  </si>
  <si>
    <t>6.5–8.5</t>
  </si>
  <si>
    <t>Turbidity</t>
  </si>
  <si>
    <t>1 NTU</t>
  </si>
  <si>
    <t>TDS</t>
  </si>
  <si>
    <t>500 mg/L</t>
  </si>
  <si>
    <t>E. coli</t>
  </si>
  <si>
    <t>Not detectable in any 100 ml sample</t>
  </si>
  <si>
    <t>Total Hardness as CaCO₃</t>
  </si>
  <si>
    <t>200 mg/L</t>
  </si>
  <si>
    <t>Chloride</t>
  </si>
  <si>
    <t>250 mg/L</t>
  </si>
  <si>
    <t>Iron</t>
  </si>
  <si>
    <t>0.3 mg/L</t>
  </si>
  <si>
    <t>Lead</t>
  </si>
  <si>
    <t>0.01 mg/L</t>
  </si>
  <si>
    <t>Mercury</t>
  </si>
  <si>
    <t>0.001 mg/L</t>
  </si>
  <si>
    <t>Total Arsenic</t>
  </si>
  <si>
    <t>kg or ₹</t>
  </si>
  <si>
    <t>≥10% = 1 point</t>
  </si>
  <si>
    <t>Responsibly Sourced Animal Products</t>
  </si>
  <si>
    <t>Annual Chemical Use</t>
  </si>
  <si>
    <t>Annual Room Nights</t>
  </si>
  <si>
    <t>room nights</t>
  </si>
  <si>
    <t>Chemical Use Intensity</t>
  </si>
  <si>
    <t>L/room night</t>
  </si>
  <si>
    <t>Pool Water Measure</t>
  </si>
  <si>
    <t>0.2–0.5 ppm, continuously monitored and publicly displayed</t>
  </si>
  <si>
    <t>Alternative treatment</t>
  </si>
  <si>
    <t>No. of qualifying IGBC Accredited Professionals</t>
  </si>
  <si>
    <t>Tick ☑ to display the corresponding option calculation and supporting documents.</t>
  </si>
  <si>
    <t>Coastal Regulation Zone</t>
  </si>
  <si>
    <t>Option 3 - UHI Mapping</t>
  </si>
  <si>
    <t>Demonstrate that the project has conducted a heat mapping study to identify Urban Heat Island (UHI) hotspots</t>
  </si>
  <si>
    <t>Option 4 - UHI Mitigation</t>
  </si>
  <si>
    <t>Demonstrate measures implemented to minimize Urban Heat Island (UHI) effect for both roof and non-roof impervious areas</t>
  </si>
  <si>
    <t>Identification of climate risks</t>
  </si>
  <si>
    <t>Migitation measures adopted</t>
  </si>
  <si>
    <t>Water</t>
  </si>
  <si>
    <t>Hazard type</t>
  </si>
  <si>
    <t>Hazard Category</t>
  </si>
  <si>
    <t>Local or urban flood/ River or lake flood/ Flash fllod</t>
  </si>
  <si>
    <t>Coastal or Tidal flood/ Storm surge/ Tsunamis</t>
  </si>
  <si>
    <t>Wind</t>
  </si>
  <si>
    <t>Cyclone, Typhoon, Hurricane, Tornado, Downburst</t>
  </si>
  <si>
    <t>Fire</t>
  </si>
  <si>
    <t>Geoseismic</t>
  </si>
  <si>
    <t>Earthquake, Landslide, Subsidence</t>
  </si>
  <si>
    <t>Local fire, wildfire</t>
  </si>
  <si>
    <t>Retrofit flood barriers or deployable flood protection systems at vulnerable openings</t>
  </si>
  <si>
    <t>Relocate or elevate critical utilities above flood-prone levels, wherever feasible</t>
  </si>
  <si>
    <t>Install sump pumps with emergency backup power</t>
  </si>
  <si>
    <t>Improve external grading and drainage pathways, where possibleems</t>
  </si>
  <si>
    <t>Develop and implement a Flood Emergency Response and Evacuation Plan</t>
  </si>
  <si>
    <t>Apply corrosion protection coatings and periodic anti-corrosion treatment for structural elements</t>
  </si>
  <si>
    <t>Provide temporary or permanent surge barriers, where feasible</t>
  </si>
  <si>
    <t>Waterproof basements and critical service areas</t>
  </si>
  <si>
    <t>Provide emergency pumps and drainage sumps</t>
  </si>
  <si>
    <t>Undertake periodic structural audits for marine corrosion and degradation</t>
  </si>
  <si>
    <t>Provide clearly marked tsunami evacuation routes and designated assembly areas.</t>
  </si>
  <si>
    <t>Retrofit roof anchoring and façade support systems, where required</t>
  </si>
  <si>
    <t>Replace vulnerable glazing with wind-rated systems, where feasible</t>
  </si>
  <si>
    <t>Secure rooftop equipment and external installations</t>
  </si>
  <si>
    <t>Install storm shutters for critical openings</t>
  </si>
  <si>
    <t>Undertake periodic pre-monsoon structural inspections of roof and façade systems.</t>
  </si>
  <si>
    <t>Develop and implement a Cyclone Preparedness and Guest Communication Protocol</t>
  </si>
  <si>
    <t>Upgrade fire alarm systems to addressable systems, where feasible</t>
  </si>
  <si>
    <t>Replace non-compliant fire doors with certified fire-rated doors.</t>
  </si>
  <si>
    <t>Maintain hydrant, sprinkler, and detection systems through periodic testing.</t>
  </si>
  <si>
    <t>Conduct vegetation management in wildfire-prone reg</t>
  </si>
  <si>
    <t>Conduct regular fire drills for staff and maintain training records</t>
  </si>
  <si>
    <t>Conduct periodic third-party fire safety audits</t>
  </si>
  <si>
    <t>Conduct structural stability and seismic vulnerability assessment</t>
  </si>
  <si>
    <t>Retrofit structural elements using appropriate strengthening techniques (e.g., steel bracing, jacketing).</t>
  </si>
  <si>
    <t>Anchor façade elements, parapets, and heavy equipment</t>
  </si>
  <si>
    <t>Stabilize slopes and improve drainage systems.</t>
  </si>
  <si>
    <t>Develop and implement Earthquake Emergency Response and Evacuation Procedures</t>
  </si>
  <si>
    <t>Option 2 - Irrigation system performance</t>
  </si>
  <si>
    <t xml:space="preserve">Option 2 - Water Use Intensity </t>
  </si>
  <si>
    <t>Certification</t>
  </si>
  <si>
    <t>As-built drawings (site plan, floor plans, elevations, sections, etc.,) approved by local Government authority</t>
  </si>
  <si>
    <t>Occupancy certificate from Local Authority.</t>
  </si>
  <si>
    <t>Environmental Clearance Certificate and/or EIA Study Report approved by MoEFCC or SEIAA, if applicable.</t>
  </si>
  <si>
    <t>Valid Pollution Control Board (PCB) Consents – Consent to Establish (CTE) and Consent to Operate (CTO).</t>
  </si>
  <si>
    <t>Food Safety and Standards Authority of India (FSSAI) License, where food service facilities are operational.</t>
  </si>
  <si>
    <t>Project classification or reclassification certificate issued by the Ministry of Tourism, Government of India, if applicable</t>
  </si>
  <si>
    <t>Site drawings highlighting ESC measures implemented on-site, during construction and post occupancy</t>
  </si>
  <si>
    <t>Photographs showing ESC measures taken at various stages of construction, before construction, during construction and post occupancy</t>
  </si>
  <si>
    <t>% Average Peak Month Rainfall (mm)</t>
  </si>
  <si>
    <t>% of Average Peak Month Rainfall</t>
  </si>
  <si>
    <t xml:space="preserve"> % of Average Peak Month Rainfall</t>
  </si>
  <si>
    <t>Detailed report identifying climate-related risks at the project site along with the tentative design measures proposed to mitigate identified risks and enhance resilience.</t>
  </si>
  <si>
    <t>Photographs of interventions implemented to mitigate identified climate-related hazards, if available</t>
  </si>
  <si>
    <t>Daily Use per FTE</t>
  </si>
  <si>
    <t>Case A: Rainwater Harvesting Design: Rainwater harvesting system to capture/percolate at least ‘one -day rainfall' runoff volume from roof and non-roof areas</t>
  </si>
  <si>
    <t>Runoff Volume = Area × Coefficient × Rainfall intensity (m³)</t>
  </si>
  <si>
    <t>Rainwater storage or harvesting system capacity designed (m³)</t>
  </si>
  <si>
    <t>Case A: Design rainwater harvesting system to capture/ percolate at least ‘one-day rainfall*’ runoff volume from roof and non-roof areas</t>
  </si>
  <si>
    <t>Case B: High Groundwater Table: Design rainwater harvesting system to capture/ percolate at least ‘one-day rainfall*’ runoff volume from roof areas</t>
  </si>
  <si>
    <r>
      <t>Catchment Area (m</t>
    </r>
    <r>
      <rPr>
        <vertAlign val="superscript"/>
        <sz val="11"/>
        <rFont val="Carlito"/>
      </rPr>
      <t>2</t>
    </r>
    <r>
      <rPr>
        <sz val="11"/>
        <rFont val="Carlito"/>
      </rPr>
      <t>)</t>
    </r>
  </si>
  <si>
    <t>OR</t>
  </si>
  <si>
    <t>Annual guest nights</t>
  </si>
  <si>
    <t>Star Classification (if any)</t>
  </si>
  <si>
    <t>Certification Type</t>
  </si>
  <si>
    <t>Name-Green Building Consultant</t>
  </si>
  <si>
    <t>Date of Project Submission</t>
  </si>
  <si>
    <t>Project Built up Area (sq.m)</t>
  </si>
  <si>
    <t>July</t>
  </si>
  <si>
    <t>August</t>
  </si>
  <si>
    <t>September</t>
  </si>
  <si>
    <t>October</t>
  </si>
  <si>
    <t>November</t>
  </si>
  <si>
    <t>No. of occupants</t>
  </si>
  <si>
    <t>FTE Calculation</t>
  </si>
  <si>
    <t>Usage</t>
  </si>
  <si>
    <t>Anticipated No of Hours</t>
  </si>
  <si>
    <t>FTE</t>
  </si>
  <si>
    <t>Total Occupants</t>
  </si>
  <si>
    <t>Demonstrate that the hotel has eco-friendly refrigerants and provide a comprehensive list of HVAC&amp;R equipment installed in the project along with the details of refrigerant charged</t>
  </si>
  <si>
    <t>Use low GWP/ eco-friendly refrigerants in all HVAC&amp;R equipment and system by following MoEFCC guidelines and regulation (Phase out &amp; Phase down program)</t>
  </si>
  <si>
    <t>Manufacturer cut sheets/ brochures to show the type of refrigerants installed in the HVAC&amp;R systems</t>
  </si>
  <si>
    <t>Manufacturer cut sheets/ brochures to show the type of gases installed in the fire suppression systems</t>
  </si>
  <si>
    <t>Submit photographs of nameplates indicating the type of refrigerants installed in the HVAC&amp;R systems</t>
  </si>
  <si>
    <t>Purchase invoice of the HVAC&amp;R systems installed.</t>
  </si>
  <si>
    <t>Option 1 : Energy Performance Index (EPI)</t>
  </si>
  <si>
    <t>Month</t>
  </si>
  <si>
    <t>Electricity Consumption (kWh)</t>
  </si>
  <si>
    <t>January</t>
  </si>
  <si>
    <t>February</t>
  </si>
  <si>
    <t>March</t>
  </si>
  <si>
    <t>April</t>
  </si>
  <si>
    <t>May</t>
  </si>
  <si>
    <t>June</t>
  </si>
  <si>
    <t>December</t>
  </si>
  <si>
    <t>Total</t>
  </si>
  <si>
    <t>Energy Performance Index (kWh/sq.m/year)</t>
  </si>
  <si>
    <t>Option 2 : Energy Use Intensity (EUI)</t>
  </si>
  <si>
    <t>Annual Energy Consumption</t>
  </si>
  <si>
    <t>EUI</t>
  </si>
  <si>
    <t>Room nights</t>
  </si>
  <si>
    <t>EUI Savings</t>
  </si>
  <si>
    <t>Option 3: Calibrated Simulation</t>
  </si>
  <si>
    <t xml:space="preserve">Demonstrate energy compliance for building/ space through calibrated simulation following M&amp;V Protocols such as IPMVP/FEMP/ASHRAE 14. Simulation model shall be calibrated based on whole building energy consumption and any major energy end use (chiller/ cooling energy consumption/ lighting/ ventilation/ etc.). </t>
  </si>
  <si>
    <t>Electricity bills of the preceding 1 year</t>
  </si>
  <si>
    <t xml:space="preserve">Details of all utilities consumption over the last 12 months. (Electricity, HSD, LPG, LDO, FO, PNG, Thermic Fluid and RE) </t>
  </si>
  <si>
    <t>Option 1 - EPI</t>
  </si>
  <si>
    <t>Option 2 - EUI</t>
  </si>
  <si>
    <t>Annual guest-night occupancy details indicating total rooms occupied per month and number of guests</t>
  </si>
  <si>
    <t>Electricity bills of the preceding 1 year.</t>
  </si>
  <si>
    <t>Option 3 - Calibration simulation</t>
  </si>
  <si>
    <t>Submit Energy Performance Index (EPI) calculation along with monthly energy consumption for last 3 years (whole building and major energy end use) in the prescribed format</t>
  </si>
  <si>
    <t>Submit project area details clearly indicating total built up area, total conditioned area, unconditioned area, and basement area</t>
  </si>
  <si>
    <t xml:space="preserve">Energy Simulation Report along with specifications of ‘as is’ case and baseline (building envelope, interior &amp; exterior lighting, HVAC, equipment, actual schedules). Report shall include error limits such as MBE and CvRMSE and at least 5 recommendations proposed/ implemented for energy conservation on monthly basis. </t>
  </si>
  <si>
    <t>Submit a plan to show how the building would be audited for its green building performance after occupancy, with regard to the following:</t>
  </si>
  <si>
    <t>Unitary air-conditioners</t>
  </si>
  <si>
    <t>Temperature and RH measurements in individual spaces</t>
  </si>
  <si>
    <t xml:space="preserve">CO2 monitoring system </t>
  </si>
  <si>
    <t xml:space="preserve">Energy &amp; Water metering </t>
  </si>
  <si>
    <t xml:space="preserve">Building management system </t>
  </si>
  <si>
    <t xml:space="preserve">DG sets or Back-up systems </t>
  </si>
  <si>
    <t xml:space="preserve">Sewage treatment plant </t>
  </si>
  <si>
    <t xml:space="preserve">Any other equipment and systems </t>
  </si>
  <si>
    <t>Report specific observations and variations identified by commissioning authority to the project owner, for each equipment &amp; system, with respect to commissioning plan and how they were addressed</t>
  </si>
  <si>
    <t>Measurement &amp; verification plan for yearly reporting.</t>
  </si>
  <si>
    <t>Post-occupancy survey to verify occupant comfort (lighting levels, temperature, relative humidity, noise levels, etc.,)</t>
  </si>
  <si>
    <t>Functional test reports on green building performance of the equipment &amp; systems listed in commissioning plan. The report for each of the equipment &amp; systems should cover the following:</t>
  </si>
  <si>
    <t xml:space="preserve">Equipment specifications </t>
  </si>
  <si>
    <t xml:space="preserve">Test results with specific comments from the Commissioning Authority, at the time of commissioning </t>
  </si>
  <si>
    <t xml:space="preserve">Key monitoring aspects to sustain performance </t>
  </si>
  <si>
    <t xml:space="preserve">Estimated energy &amp; water consumption </t>
  </si>
  <si>
    <t>Scope for performance enhancing in future, and savings thereof.</t>
  </si>
  <si>
    <t>Report specific observations and variations identified by commissioning authority to the project owner, for each equipment and system with respect to commissioning plan and how they were addressed.</t>
  </si>
  <si>
    <t>Report on green building performance of the equipment &amp; systems listed in commissioning plan</t>
  </si>
  <si>
    <t>Copy of an agreement signed between the owner and the third party commissioning authority.</t>
  </si>
  <si>
    <t>Owners brief in terms of performance expectations from the building.</t>
  </si>
  <si>
    <t>Commissioning plan describing how the building would be audited for its green building performance after occupancy, with regard to the equipment and systems.</t>
  </si>
  <si>
    <t>Post-occupancy survey to verify occupants comfort (lighting levels, temperature, relative humidity, noise levels, etc.,).</t>
  </si>
  <si>
    <t>Notes:</t>
  </si>
  <si>
    <t>In existing hotels wherein refrigerants with GWP greater than 2100 are still used, the complete phase-out plan shall be submitted for the next 3 years.</t>
  </si>
  <si>
    <t xml:space="preserve">Retrofitting/ Renovation/ new structural extension projects shall only use eco- friendly refrigerant/gas as per MoEFCC guidelines </t>
  </si>
  <si>
    <t xml:space="preserve">All equipment or system which uses refrigerant shall be considered. </t>
  </si>
  <si>
    <t>Nameplate Photographs of the equipment indicating the refrigerant type</t>
  </si>
  <si>
    <t>Purchase invoice of the HVAC&amp;R system</t>
  </si>
  <si>
    <t>Demonstrate that the refrigerants with GWP less than 2100 and provide a comprehensive list of HVAC&amp;R equipment proposed to be installed in the project along with the details of refrigerant charged.</t>
  </si>
  <si>
    <t>Manufacturer cut sheet indicating the type of refrigerants proposed in the HVAC&amp;R systems and to show the type of gases proposed in the fire suppression systems.</t>
  </si>
  <si>
    <t>Total Cooking Equipment (All Utilities)</t>
  </si>
  <si>
    <t>Option 1: Kitchen Electrification</t>
  </si>
  <si>
    <t>Electrification (%)</t>
  </si>
  <si>
    <t>Option 2: Demand Control Kitchen Ventilation System</t>
  </si>
  <si>
    <t xml:space="preserve">Demonstrate that the project has a demand control kitchen ventilation system that is engineered to modulate the kitchen hood exhaust rate based on the cooking activity </t>
  </si>
  <si>
    <t>Option 1: Envelope Efficiency</t>
  </si>
  <si>
    <t>Demonstrate that the U-value of walk-in cold room and walk- in freezer complies with the requirements specified in IS 661:2000 – Table 1 / Annex B</t>
  </si>
  <si>
    <t>Option 2: Cold Room Efficiency</t>
  </si>
  <si>
    <t>Demonstrate the best practices followed for efficient energy use in the walk-in cold rooms and freezers provided in the facility</t>
  </si>
  <si>
    <t>Option 2: Photographs of the energy efficient measures implemented</t>
  </si>
  <si>
    <t>Points attempted</t>
  </si>
  <si>
    <t>Option 1: Solar Water Heating Systems</t>
  </si>
  <si>
    <t>Install solar water heating system to meet at least 20% of the total hot water demand.</t>
  </si>
  <si>
    <t>Provide high-efficiency heat pump systems to meet the hot water requirement with a minimum Coefficient of Performance (COP)</t>
  </si>
  <si>
    <t>(Or)</t>
  </si>
  <si>
    <t xml:space="preserve">Provide Boilers of at least 95% efficiency to meet the hotel hot water requirement. </t>
  </si>
  <si>
    <t>Provide BEE 5 star Geysers catering to meet the hotel hot water requirement</t>
  </si>
  <si>
    <t>Option 1: Laundry Washer</t>
  </si>
  <si>
    <t>Capacity of the clothes container</t>
  </si>
  <si>
    <t>Demonstrate that the Combined Energy Factor (CEF) of the dryer installed in the hotel is as per the following table</t>
  </si>
  <si>
    <t>Type of Dryer</t>
  </si>
  <si>
    <t>CEF Value</t>
  </si>
  <si>
    <t>Vented Gas Dryer</t>
  </si>
  <si>
    <t xml:space="preserve">Ventless or Vented electric Model-Standard or 4.4cu.ft and above </t>
  </si>
  <si>
    <t>Ventless or Vented Electric Model- Compact, 120V</t>
  </si>
  <si>
    <t xml:space="preserve">Vented or Ventless Electric Model- Compact, 240V </t>
  </si>
  <si>
    <t xml:space="preserve">Total energy consumption per cycle </t>
  </si>
  <si>
    <t>kg</t>
  </si>
  <si>
    <t>Combined Energy Factor</t>
  </si>
  <si>
    <t>Units</t>
  </si>
  <si>
    <t>Option 3: Laundry Energy Performance</t>
  </si>
  <si>
    <t>Demonstrate that the annual energy consumption of the in-house laundry facility/ outsourced laundry facility is ≤1.45 kWh/kg of laundry processed</t>
  </si>
  <si>
    <t>Laundry Energy Performance</t>
  </si>
  <si>
    <t>Annual energy consumption from all the Laundry System</t>
  </si>
  <si>
    <t>Annual Laundry Load</t>
  </si>
  <si>
    <t>kWh/kg</t>
  </si>
  <si>
    <t>Option 4: Low Temperature Laundry</t>
  </si>
  <si>
    <t xml:space="preserve">Demonstrate that at least 80% of the annual laundry load is washed using low temperature wash cycles (≤40°C). </t>
  </si>
  <si>
    <t>Inputs</t>
  </si>
  <si>
    <t>Total Hot Water Demand</t>
  </si>
  <si>
    <t>L/day</t>
  </si>
  <si>
    <t>Solar Water Heating System Capacity</t>
  </si>
  <si>
    <t>Solar Contribution to Hot Water Demand</t>
  </si>
  <si>
    <t>Install energy-efficient dishwashing system as per the details below</t>
  </si>
  <si>
    <t>Kitchen exhaust systems</t>
  </si>
  <si>
    <t>Laundry systems</t>
  </si>
  <si>
    <t>Dishwasher systems</t>
  </si>
  <si>
    <t>Hot water systems</t>
  </si>
  <si>
    <t>DG sets</t>
  </si>
  <si>
    <t>Option 1: Energy Metering</t>
  </si>
  <si>
    <t xml:space="preserve">Demonstrate submetering for at least three of the following energy use applications, as applicable </t>
  </si>
  <si>
    <t xml:space="preserve">Interior &amp; Common area lighting </t>
  </si>
  <si>
    <t xml:space="preserve">Exterior area lighting </t>
  </si>
  <si>
    <t xml:space="preserve">Municipal water pumping </t>
  </si>
  <si>
    <t>Ground water pumping</t>
  </si>
  <si>
    <t xml:space="preserve">Treated waste water pumping </t>
  </si>
  <si>
    <t xml:space="preserve">Renewable energy generation </t>
  </si>
  <si>
    <t xml:space="preserve">Power backup systems (Generators sets, Gas turbines, etc.,) </t>
  </si>
  <si>
    <t>Elevators, Escalators, Travelators, etc.,</t>
  </si>
  <si>
    <t xml:space="preserve">BTU meter for chilled water consumption </t>
  </si>
  <si>
    <t>Option 2: Building Management System</t>
  </si>
  <si>
    <t>Demonstrate that the building management system is in place to monitor and control atleast three of the following systems.</t>
  </si>
  <si>
    <t xml:space="preserve">Air-conditioning management system </t>
  </si>
  <si>
    <t xml:space="preserve">Lighting management system </t>
  </si>
  <si>
    <t xml:space="preserve">Renewable energy management system </t>
  </si>
  <si>
    <t xml:space="preserve">Elevator management system </t>
  </si>
  <si>
    <t xml:space="preserve">Fresh air monitoring system </t>
  </si>
  <si>
    <t xml:space="preserve">CO2 control and monitoring system </t>
  </si>
  <si>
    <t xml:space="preserve">Manufacturer cut sheets / data sheets showing washer capacity (m³) and total energy consumption per cycle (kWh). </t>
  </si>
  <si>
    <t xml:space="preserve">Photographs of the Laundry washer installed. </t>
  </si>
  <si>
    <t>Purchase invoice of the Laundry washer installed.</t>
  </si>
  <si>
    <t xml:space="preserve">Option 1: Laundry Washer </t>
  </si>
  <si>
    <t>Option 2: Laundry Dryer</t>
  </si>
  <si>
    <t>Manufacturer cut sheets / data sheets indicating dryer type (vented/ventless, gas/electric), capacity (kg), and total energy consumption per cycle (kWh).</t>
  </si>
  <si>
    <t xml:space="preserve">Photographs of the Laundry dryer installed. </t>
  </si>
  <si>
    <t>Purchase invoice of the Laundry dryer installed.</t>
  </si>
  <si>
    <t>Option 3: Laundry performance</t>
  </si>
  <si>
    <t>Narrative describing the list of laundry systems considered such as Washer Extractor, Hydro Washer, Tumble Dryer, Equipment for Dry Cleaning, Water isoftener, Boiler/Hot water generator etc., to calculate the laundry performance of the hotel.</t>
  </si>
  <si>
    <t xml:space="preserve">Log book or Excel based data indicating load, energy consumption and chemical consumption data. </t>
  </si>
  <si>
    <t>Photographs of all the laundry systems considered for the calculations</t>
  </si>
  <si>
    <t xml:space="preserve">Laundry Equipment specifications or program settings showing availability of low-temperature wash cycles. </t>
  </si>
  <si>
    <t>Operational records / laundry logs demonstrating that ≥80% of annual laundry load is processed at ≤ 40 °C</t>
  </si>
  <si>
    <t xml:space="preserve">Narrative describing the low temperature laundry process practiced. </t>
  </si>
  <si>
    <t xml:space="preserve">Laundry Standard Operating Procedure (SOP) indicating wash cycles operated at ≤ 40 °C. </t>
  </si>
  <si>
    <t xml:space="preserve">Manufacturer cut-sheets / brochures / technical data sheets of the systems proposed in the hotel indicating the energy consumption (kWh/rack area) and cycle details. </t>
  </si>
  <si>
    <t xml:space="preserve">Photographs of dishwashers and pot/pan washers installed in the kitchen areas. </t>
  </si>
  <si>
    <t xml:space="preserve">Purchase invoices indicating make and model of the installed dishwashing systems, wherever applicable. </t>
  </si>
  <si>
    <t>Manufacturer cut-sheets / data sheets of the proposed energy recovery system (heat exchangers, heat recovery wheels, condensers, exhaust recovery units, etc.)</t>
  </si>
  <si>
    <t>System schematic / flow diagram showing the source of waste heat, heat recovery device, and end-use application.</t>
  </si>
  <si>
    <t>Photographs of the energy recovery systems installed in the hotel.</t>
  </si>
  <si>
    <t>Purchase invoice of the Energy recovery systems installed.</t>
  </si>
  <si>
    <t>Energy assessment reports following guidelines by Bureau of Energy Efficiency indicating opportunities/ measures for energy conservation in the hotel</t>
  </si>
  <si>
    <t>Action plan initiated after the audit to reduce energy consumption or list of proposed Energy efficiency measures</t>
  </si>
  <si>
    <t>Documentary proof to validate the implemented energy efficiency measures for the hotel.</t>
  </si>
  <si>
    <t>Option 1 : Energy Metering</t>
  </si>
  <si>
    <t>Single line drawing showing the proposed energy meters.</t>
  </si>
  <si>
    <t>Photographs of the energy meters installed in the project.</t>
  </si>
  <si>
    <t>I/O summary of the BMS system installed</t>
  </si>
  <si>
    <t>Photographs showing the systems monitored through the building management system.</t>
  </si>
  <si>
    <t>Project commitment to share performance data for next three years on half
yearly basis.</t>
  </si>
  <si>
    <t>Energy Savings over Baseline</t>
  </si>
  <si>
    <t>Percentage savings over baseline EPI</t>
  </si>
  <si>
    <t>Percentage savings over baseline EUI</t>
  </si>
  <si>
    <t>Calibrated Simulation Approach</t>
  </si>
  <si>
    <t>kWh/m²/year</t>
  </si>
  <si>
    <t>Baseline EUI</t>
  </si>
  <si>
    <t>Actual / Proposed EUI</t>
  </si>
  <si>
    <t>EUI Savings over Baseline</t>
  </si>
  <si>
    <t xml:space="preserve">Energy Performance Index </t>
  </si>
  <si>
    <t>Baseline EPI</t>
  </si>
  <si>
    <t>Proposed Building EPI</t>
  </si>
  <si>
    <t>(kWh/sq.m/year)</t>
  </si>
  <si>
    <t xml:space="preserve">Option 2: Energy Efficient Hot Water Systems: </t>
  </si>
  <si>
    <t>any 2 measures</t>
  </si>
  <si>
    <t>&gt; 1</t>
  </si>
  <si>
    <t>Total Number of Guest Rooms</t>
  </si>
  <si>
    <t>Annual Guest Nights                    Σ(Number of Guests staying each night)</t>
  </si>
  <si>
    <t>Narrative:</t>
  </si>
  <si>
    <t>Drawings highlighting the measures implemented for differently abled people and senior citizens.</t>
  </si>
  <si>
    <t>Photographs showing all the measures implemented</t>
  </si>
  <si>
    <t>Non-roof area shaded with tree cover</t>
  </si>
  <si>
    <t>Open grid or Pavers</t>
  </si>
  <si>
    <t>Structured shaded area</t>
  </si>
  <si>
    <t>Total Area</t>
  </si>
  <si>
    <t>Podium/ Basement roof</t>
  </si>
  <si>
    <t>Roof Type with UHI Measure</t>
  </si>
  <si>
    <t>Total Roof Area meeting UHI Measure</t>
  </si>
  <si>
    <t>Cemented/ tiled roof</t>
  </si>
  <si>
    <t>Roof Garden &lt; 100 mm thickness</t>
  </si>
  <si>
    <t>Roof Garden (100–200 mm thickness)</t>
  </si>
  <si>
    <t>Roof Garden (201 – 500 mm thickness)</t>
  </si>
  <si>
    <t>Roof Garden (&gt; 500 mm thickness)</t>
  </si>
  <si>
    <t>Turf, Flat (0 - 1% slope)</t>
  </si>
  <si>
    <t>Turf, Average (1 - 3% slope)</t>
  </si>
  <si>
    <t>Turf, Hilly (3 - 10% slope)</t>
  </si>
  <si>
    <t>Turf, Steep (&gt; 10% slope)</t>
  </si>
  <si>
    <t>Vegetation, Flat (0 - 1% slope)</t>
  </si>
  <si>
    <t>Vegetation, Average (1 - 3% slope)</t>
  </si>
  <si>
    <t>Vegetation, Hilly (1 - 3% slope)</t>
  </si>
  <si>
    <t>Vegetation, Steep (&gt; 10% slope)</t>
  </si>
  <si>
    <t>Concrete Pavement</t>
  </si>
  <si>
    <t>Gravel Pavement</t>
  </si>
  <si>
    <t>Open-grid Concrete Pavement</t>
  </si>
  <si>
    <t>Open-grid Grass Pavement</t>
  </si>
  <si>
    <t>Water Bodies (lined) Ex: Swimming Pools</t>
  </si>
  <si>
    <t>Water Bodies (un-lined) Ex: Water Pond</t>
  </si>
  <si>
    <t>Site drawing highlighting the exterior lighting fixtures installed in the project</t>
  </si>
  <si>
    <t>Manufacturer cutsheet letter of the exterior lighting fixtures indicating upward lighting percentage</t>
  </si>
  <si>
    <t>Purchase invoice of the exterior lighting fixtures</t>
  </si>
  <si>
    <t>Day and night time photographs showing the typical exterior lighting fixtures</t>
  </si>
  <si>
    <t>Photographs of installed shading devices, such as blinds, curtains, or automated shades, for exterior openings, where applicable.</t>
  </si>
  <si>
    <t>Hotel Classification</t>
  </si>
  <si>
    <t>Manufacturer cut-sheets / brochures / technical data sheets indicating the water consumption (L/rack or L/sq.ft of rack area), wash cycle details, and test conditions.</t>
  </si>
  <si>
    <t>Photographs of dishwashers and pot/pan washers installed in the kitchen areas.</t>
  </si>
  <si>
    <t>Purchase invoices indicating make and model of the installed dishwashing systems, wherever applicable.</t>
  </si>
  <si>
    <t>Daily and annual water balance of the project</t>
  </si>
  <si>
    <t>Site plan highlighting the location of installed on-site waste water treatment system</t>
  </si>
  <si>
    <t>Technical specifications and details of the wastewater treatment systems.</t>
  </si>
  <si>
    <t>Photographs showing the on-site waste water treatment system installed Existing Hotel New Hotel</t>
  </si>
  <si>
    <t>Site layout showing the alternate water distribution system (piping layout, storage tanks, reuse points).</t>
  </si>
  <si>
    <t>Photographs showing infrastructure for alternate water collection, treatment and reuse (STP, rainwater harvesting units, condensate recovery systems, treated water tanks, etc.).</t>
  </si>
  <si>
    <t>Provide separate bins to collect dry waste (paper, plastic, metals, glass, sanitary Waste etc.,) and wet waste (Food), at all the guest rooms and common areas of the hotel, as applicable. Divert the collected waste to a centralized facility, which is easily accessible for hauling.</t>
  </si>
  <si>
    <t>In addition to dry and wet waste bins, provide separate bins for safe disposal of the following hazardous waste, at the centralized facility:</t>
  </si>
  <si>
    <t xml:space="preserve">Responsible Handling: </t>
  </si>
  <si>
    <t>Hazardous Waste:</t>
  </si>
  <si>
    <t>Dry and Wet Waste:</t>
  </si>
  <si>
    <t>Common areas include lobbies, restaurants, banquet halls, pools, corridors, etc.</t>
  </si>
  <si>
    <t>Note:</t>
  </si>
  <si>
    <t>The project shall follow the Hazardous Waste Management Guidelines as prescribed by the Ministry of Environment &amp; Forest (MoEF), Government of India.</t>
  </si>
  <si>
    <t>Floor plans showing the location of waste bins at floor level and common areas, as applicable</t>
  </si>
  <si>
    <t xml:space="preserve">Site/ floor plan showing the location of the centralized facility for segregation of waste </t>
  </si>
  <si>
    <t xml:space="preserve">Contract agreement with recyclers for responsible handling of waste generated in the hotel </t>
  </si>
  <si>
    <t>Photographs showing the waste bins provided at floor level and centralized facility.</t>
  </si>
  <si>
    <t xml:space="preserve">1. Batteries </t>
  </si>
  <si>
    <t>2. e-waste</t>
  </si>
  <si>
    <t xml:space="preserve">3. Lamps </t>
  </si>
  <si>
    <t>4. Hazardous Waste: Used cooking oil (if collected for recycling into biofuel)</t>
  </si>
  <si>
    <t>5. Hazardous Waste: Medical waste, if any</t>
  </si>
  <si>
    <t>Use recycled or FSC-certified paper for menu cards, guest bills, brochures, and visiting cards.</t>
  </si>
  <si>
    <t xml:space="preserve">Use non-bleached/chlorine-free toilet paper. </t>
  </si>
  <si>
    <t>Use recycled and/or non-bleached tissue paper (facial tissues, napkins, paper towels).</t>
  </si>
  <si>
    <t>Procure bed, bath, and table linen made from sustainable textiles such as organic cotton, Better Cotton, bamboo-based fabrics, or other certified sustainable materials</t>
  </si>
  <si>
    <t xml:space="preserve">Cutleries &amp; utensils in restaurants </t>
  </si>
  <si>
    <t xml:space="preserve">F&amp;B service (straw, stirrers, takeaway packaging) </t>
  </si>
  <si>
    <t xml:space="preserve">Conference &amp; banquet service </t>
  </si>
  <si>
    <t>Guest amenities</t>
  </si>
  <si>
    <t>Water bottles</t>
  </si>
  <si>
    <t xml:space="preserve">Laundry bags </t>
  </si>
  <si>
    <t xml:space="preserve">Garbage bags/liners </t>
  </si>
  <si>
    <t>Option 1: Sustainable Procurement:</t>
  </si>
  <si>
    <t xml:space="preserve">Purchase invoices indicating procurement of recycled, FSC-certified, or non- bleached materials. </t>
  </si>
  <si>
    <t xml:space="preserve">Product specification sheets confirming recycled content, FSC certification, or chlorine-free properties. </t>
  </si>
  <si>
    <t xml:space="preserve">Photographs of implemented products within the hotel premises </t>
  </si>
  <si>
    <t>Option 2: Plastic Free Hospitality:</t>
  </si>
  <si>
    <t xml:space="preserve">Purchase invoices for reusable or biodegradable products adopted in the project </t>
  </si>
  <si>
    <t>Manufacturer brochure / technical datasheets of the eco-friendly alternatives adopted in the project.</t>
  </si>
  <si>
    <t>Photographs of eco-friendly alternatives adopted in the project</t>
  </si>
  <si>
    <t xml:space="preserve">Option 1: Waste Reduction Measures </t>
  </si>
  <si>
    <t xml:space="preserve">Implement paperless operations such as digital check-in/check-out and e-billing. </t>
  </si>
  <si>
    <t>Provide digital menus accessible through QR codes in restaurants, guest rooms, and banquets.</t>
  </si>
  <si>
    <t>Use reusable and non-plastic water containers for drinking water in guest rooms, restaurants, and banquets.</t>
  </si>
  <si>
    <t>Replace paper tissue napkins in dining areas with reusable cloth napkins.</t>
  </si>
  <si>
    <t xml:space="preserve">Provide guest toiletries through refillable dispensers instead of single-use plastic containers. </t>
  </si>
  <si>
    <t>Option 2: Waste Intensity Index</t>
  </si>
  <si>
    <t>Annual Dry Waste</t>
  </si>
  <si>
    <t>Annual Food Waste</t>
  </si>
  <si>
    <t>(kg/guest-night)</t>
  </si>
  <si>
    <t xml:space="preserve">Food Waste Intensity </t>
  </si>
  <si>
    <t>Dry Waste Intensity</t>
  </si>
  <si>
    <t xml:space="preserve">Purchase invoices for products adopted in the project </t>
  </si>
  <si>
    <t xml:space="preserve">Photographs of waste reduction measures implemented in the project. </t>
  </si>
  <si>
    <t>Log records/books indicating the dry waste &amp; food waste generated for 12 months.</t>
  </si>
  <si>
    <t xml:space="preserve">Annual guest-night occupancy data with number of guests staying each night for 12 months. </t>
  </si>
  <si>
    <t>Option 2: Green Operation &amp; Maintenance</t>
  </si>
  <si>
    <t xml:space="preserve">Photographs of certified materials, equipment, and products procured in the hotel. </t>
  </si>
  <si>
    <t xml:space="preserve">Purchase Invoices and Test certificates/ reports of the passive or active green building materials, products, and equipment. </t>
  </si>
  <si>
    <t xml:space="preserve">GreenPro / Type 1 eco-label certificates or equivalent third-party certifications for passive or active green building materials, products, and equipment procured in the hotel. </t>
  </si>
  <si>
    <t xml:space="preserve">Option 1: Aerobic Digestion </t>
  </si>
  <si>
    <t>Rated Power</t>
  </si>
  <si>
    <t>kW</t>
  </si>
  <si>
    <t>Rated Capacity</t>
  </si>
  <si>
    <t>Equipment Efficiency</t>
  </si>
  <si>
    <t>kW/kg</t>
  </si>
  <si>
    <t>(OR)</t>
  </si>
  <si>
    <t xml:space="preserve">Site plan/Floor plan highlighting the location of on-site organic waste treatment system installed in the project </t>
  </si>
  <si>
    <t xml:space="preserve">Manufacturer brochure/ cut-sheet of the installed organic waste treatment system highlighting make, model, capacity (kg/day), and rated power (kW/kg). </t>
  </si>
  <si>
    <t>Purchase invoice/ payment receipts of the installed organic waste treatment system.</t>
  </si>
  <si>
    <t>Photographs showing the installed organic waste treatment system</t>
  </si>
  <si>
    <t xml:space="preserve">Option 2: Anaerobic Digestion </t>
  </si>
  <si>
    <t>Site plan/ Floor plan highlighting the location of waste to energy treatment system proposed in the project</t>
  </si>
  <si>
    <t xml:space="preserve">Logs indicating the quantity of biogas produced from the plant </t>
  </si>
  <si>
    <t xml:space="preserve">Manufacturer cutsheet of the organic waste treatment system proposed in the project </t>
  </si>
  <si>
    <t>Purchase invoice/ payment receipts of the installed waste to energy.</t>
  </si>
  <si>
    <t>Photographs showing the installed waste to energy system</t>
  </si>
  <si>
    <t>Requirements</t>
  </si>
  <si>
    <t xml:space="preserve">Option 1: On-site Renewable Energy </t>
  </si>
  <si>
    <t>Input</t>
  </si>
  <si>
    <t>Option 2: Combination of On-site &amp; Off-site Renewable Energy</t>
  </si>
  <si>
    <t xml:space="preserve">Option 1: On-Site Renewable Energy </t>
  </si>
  <si>
    <t xml:space="preserve">Drawing showing the location of installed renewable energy systems </t>
  </si>
  <si>
    <t xml:space="preserve">Purchase invoice of the on-site renewable energy system installed </t>
  </si>
  <si>
    <t xml:space="preserve">Photographs showing the renewable energy systems </t>
  </si>
  <si>
    <t>Drawing showing the location of the renewable energy systems</t>
  </si>
  <si>
    <t xml:space="preserve">Power Purchase Agreement signed between the project owner/ developer and the green power developer </t>
  </si>
  <si>
    <t xml:space="preserve">Option 1: Local Employment </t>
  </si>
  <si>
    <t xml:space="preserve">Option 2: Local Procurement </t>
  </si>
  <si>
    <t>Local Procurement Radius</t>
  </si>
  <si>
    <r>
      <rPr>
        <sz val="11"/>
        <rFont val="Aptos Narrow"/>
        <family val="2"/>
      </rPr>
      <t>≥</t>
    </r>
    <r>
      <rPr>
        <sz val="11"/>
        <rFont val="Carlito"/>
      </rPr>
      <t>50%</t>
    </r>
  </si>
  <si>
    <t xml:space="preserve">Summary of employee records with permanent residence details. </t>
  </si>
  <si>
    <t xml:space="preserve">Aerial maps indicating the distance of sourcing for food products. </t>
  </si>
  <si>
    <t xml:space="preserve">Purchase invoice of the food products purchased. </t>
  </si>
  <si>
    <t>Option 1: Public Transport</t>
  </si>
  <si>
    <t>Bus stop / intra-city rail within 800 m walking distance</t>
  </si>
  <si>
    <t xml:space="preserve">Option 2: Low Emitting Vehicles </t>
  </si>
  <si>
    <t xml:space="preserve">Option 3: Electric Vehicle Charging Infrastructure </t>
  </si>
  <si>
    <t>EV charging Infrastructure</t>
  </si>
  <si>
    <t xml:space="preserve">Site vicinity map (with scale) highlighting the location of intra-city railway station (or) a bus-stop, within 800 meters from the campus entrance(s). Also, show pedestrian access from the entrance(s) to the public transport facility </t>
  </si>
  <si>
    <t xml:space="preserve">Photographs showing the intra-city railway station (or) a bus-stop </t>
  </si>
  <si>
    <t xml:space="preserve">Copy of contract agreement signed between the project owner and the transportation service provider (as applicable) </t>
  </si>
  <si>
    <t>Details of logistics and service vehicles being operated for the hotel.</t>
  </si>
  <si>
    <t xml:space="preserve">Purchase invoice of the low emitting vehicles used by the hotel. </t>
  </si>
  <si>
    <t xml:space="preserve">Photographs of the low emitting vehicles used by the hotel. </t>
  </si>
  <si>
    <t xml:space="preserve">Option 3: Charging Infrastructure for Electric Vehicles </t>
  </si>
  <si>
    <t xml:space="preserve">Parking layouts highlighting the location of preferred parking spaces with electric charging facilities, for electric vehicles. </t>
  </si>
  <si>
    <t xml:space="preserve">Calculations indicating the percentage of guests/staff catered through low emitting vehicles </t>
  </si>
  <si>
    <t xml:space="preserve">Calculations indicating the percentage of parking capacity provided with electric charging points to demonstrate credit compliance. </t>
  </si>
  <si>
    <t xml:space="preserve">Manufacturer cut sheet of the installed electric charging facility </t>
  </si>
  <si>
    <t xml:space="preserve">Purchase invoice of the electric charging facility installed in the project, indicating the type and number of charging points provided. </t>
  </si>
  <si>
    <t>Photographs showing electric charging facilities with signages, provided in the project</t>
  </si>
  <si>
    <t xml:space="preserve">Option 1: Decarbonisation at Project Level </t>
  </si>
  <si>
    <t>Final LCA report demonstrating embodied and operational carbon emissions in accordance with ISO 14040 standards.</t>
  </si>
  <si>
    <t>Supporting BOQ and material data used for LCA inputs.</t>
  </si>
  <si>
    <t xml:space="preserve">Calculation sheet showing total GHG emissions (kg CO₂e/m²) and annual operational GHG (kg CO₂e/year). </t>
  </si>
  <si>
    <t xml:space="preserve">Details of software tool used for LCA with reference to data sources </t>
  </si>
  <si>
    <t xml:space="preserve">Copy of decarbonisation roadmap highlighting targeted reduction measures, timelines, and implementation plan. </t>
  </si>
  <si>
    <t>Water Use Intensity</t>
  </si>
  <si>
    <t>L/guest-night</t>
  </si>
  <si>
    <t>Certification Level</t>
  </si>
  <si>
    <t>Existing Hotels</t>
  </si>
  <si>
    <t>Certified</t>
  </si>
  <si>
    <t xml:space="preserve">Silver </t>
  </si>
  <si>
    <t xml:space="preserve">Gold </t>
  </si>
  <si>
    <t>Platinum</t>
  </si>
  <si>
    <t>50 - 59</t>
  </si>
  <si>
    <t>60 - 69</t>
  </si>
  <si>
    <t>70 - 79</t>
  </si>
  <si>
    <t>80 - 100</t>
  </si>
  <si>
    <t>Design the hotel to provide the following measures for differently abled and senior citizens in accordance with the guidelines of the National Building Code (NBC) of India 2016.</t>
  </si>
  <si>
    <t>Option 2: Water Use Intensity:</t>
  </si>
  <si>
    <t>Min SRI</t>
  </si>
  <si>
    <t>Max SRI</t>
  </si>
  <si>
    <t>˗</t>
  </si>
  <si>
    <t>Drawings indicating design interventions for climate risk mitigation</t>
  </si>
  <si>
    <t>&lt;</t>
  </si>
  <si>
    <t>Annual water consumption data.</t>
  </si>
  <si>
    <t>Annual guest-night occupancy data with number of guests staying each night for 12 months.</t>
  </si>
  <si>
    <t>Flushing</t>
  </si>
  <si>
    <t>Kitchen</t>
  </si>
  <si>
    <t>Dishwashing</t>
  </si>
  <si>
    <t>Laundry</t>
  </si>
  <si>
    <t>Treated water from STP</t>
  </si>
  <si>
    <t>Hot water</t>
  </si>
  <si>
    <t>RO water</t>
  </si>
  <si>
    <t>Cooling Tower</t>
  </si>
  <si>
    <t>Swimming Pool</t>
  </si>
  <si>
    <t>Spa &amp; Sauna</t>
  </si>
  <si>
    <t>Irrigation</t>
  </si>
  <si>
    <t>Any other major source of water consumption</t>
  </si>
  <si>
    <t>Smart Meters</t>
  </si>
  <si>
    <t>Site drawing highlighting the area with green cover or vegetation</t>
  </si>
  <si>
    <t>List of turf, drought tolerant, native and adaptive species proposed in the project</t>
  </si>
  <si>
    <t>Photographs showing the site area with green cover or vegetation</t>
  </si>
  <si>
    <t>Low sloped roof (&lt;2:12)</t>
  </si>
  <si>
    <t>Steep sloped roof (&gt;2:12)</t>
  </si>
  <si>
    <t>Site drawing highlighting the non-roof impervious (hardscape) areas and the areas covered with mitigation measures</t>
  </si>
  <si>
    <t>List of the existing trees/ plant species which can mature into fully grown up trees for shading, within the next 5 to 8 years</t>
  </si>
  <si>
    <t>Purchase invoice/ Payment receipt of the reflective materials, if sourced</t>
  </si>
  <si>
    <t>Manufacturer letters/ brochures indicating the Solar Reflective Index (SRI) of the reflective materials</t>
  </si>
  <si>
    <t>Photographs showing the measures implemented to reduce heat island effect from non- roof areas</t>
  </si>
  <si>
    <t>Roof drawing highlighting the area covered with high reflective roof materials/ vegetation</t>
  </si>
  <si>
    <t>Photographs showing the measures implemented to reduce heat island effect from roof areas</t>
  </si>
  <si>
    <t>Thermal imaging and heat mapping analysis report indicating the zones covered under the study and identified Urban Heat Island (UHI) hotspots for roof and non-roof areas.</t>
  </si>
  <si>
    <t>Layout highlighting roof and non-roof impervious areas covered with Urban Heat Island (UHI) reduction measures</t>
  </si>
  <si>
    <t>Photographs showing the measures implemented to reduce heat island effect from roof and non-roof areas</t>
  </si>
  <si>
    <t>(AND/OR)</t>
  </si>
  <si>
    <t>Complaince Options:</t>
  </si>
  <si>
    <t>Compliance Options:</t>
  </si>
  <si>
    <t>External storm water drain layout highlighting the location of rain water harvesting - ponds, pits, storage tanks, etc., as applicable, including cross - sectional drawings of rain water harvesting systems</t>
  </si>
  <si>
    <t>Case A: Rainwater Harvesting</t>
  </si>
  <si>
    <t>Hydrogeological test report (approved by third-party) indicating the percolation capacity of the soil/ Project specific borewell test report indicating the percolation rate</t>
  </si>
  <si>
    <t>Photographs of rain water harvesting systems, taken during and after construction</t>
  </si>
  <si>
    <t>Case B: High Groundwater Table:</t>
  </si>
  <si>
    <t>Hydrology report (approved by third-party) indicating the level of water table, at different locations within the project site.</t>
  </si>
  <si>
    <t>Photographs of plumbing fixtures installed in the private and public spaces of the hotel.</t>
  </si>
  <si>
    <t>Option 1: Water Efficient Plumbing Fixtures</t>
  </si>
  <si>
    <t>List of plumbing fixtures (flow and flush) installed in public spaces( Lobby, Restaurant and other facilities)private spaces(guest rooms), with respective make &amp; model and flow rates.</t>
  </si>
  <si>
    <t>Manufacturer cut-sheets/ brochures/ letters indicating the flow rates of the plumbing fixtures (flow and flush) at 4.1 bar flowing water pressure.</t>
  </si>
  <si>
    <t>Purchase invoice of plumbing fixtures (flow and flush) with make &amp; model.</t>
  </si>
  <si>
    <t>Compliance Status:</t>
  </si>
  <si>
    <t>Option 1: Rainwater Harvesting:</t>
  </si>
  <si>
    <t>Narrative describing the strategies proposed to capture/ harvest rain water from roof areas</t>
  </si>
  <si>
    <t>Tentative calculations indicating the run -off volume captured/ harvested from roof and the volume of rainwater harvesting pits/tanks.</t>
  </si>
  <si>
    <t xml:space="preserve">Option 2: High Groundwater Table: </t>
  </si>
  <si>
    <t>Conceptual external storm water drain layout highlighting the location of rain water harvesting - ponds, pits, storage tanks, etc., as applicable, including cross-sectional drawings</t>
  </si>
  <si>
    <t xml:space="preserve">Max. Required </t>
  </si>
  <si>
    <t>Water consumption data of at least 12 months.</t>
  </si>
  <si>
    <t>List of plumbing fixtures (flow and flush) installed in each building in the campus, with respective make &amp; model and flow rates.</t>
  </si>
  <si>
    <t>Parameters</t>
  </si>
  <si>
    <t>% Savings over WUI (Litres/Guest Night)</t>
  </si>
  <si>
    <t>https://indiawris.gov.in/wris/#/evapotranspiration</t>
  </si>
  <si>
    <t>Refer to the link for evapotranspiration rates</t>
  </si>
  <si>
    <t>(L/year)</t>
  </si>
  <si>
    <t>(m²)</t>
  </si>
  <si>
    <t>(L/m²/day)</t>
  </si>
  <si>
    <t>Annual Irrigation Water</t>
  </si>
  <si>
    <t>Irrigation Intensity</t>
  </si>
  <si>
    <t>Provide or install highly efficient irrigation systems</t>
  </si>
  <si>
    <t>Demonstrate at least 20% water savings as compared to base case due to efficient landscape design and irrigation systems</t>
  </si>
  <si>
    <t>Option 1: Landscape Design</t>
  </si>
  <si>
    <t>Site plan / layout indicating landscape areas, planting zones, and location of irrigation systems (sprinklers, drip lines, soil moisture sensors, timers, etc.).</t>
  </si>
  <si>
    <t>Photographs of installed irrigation systems and controls at site.</t>
  </si>
  <si>
    <t>Manufacturer cut-sheets / brochures of irrigation components (sprinklers, drip emitters, controllers, sensors), wherever applicable.</t>
  </si>
  <si>
    <t>Narrative describing the landscape design, type of planting zones, and efficient irrigation strategy installed for the project.</t>
  </si>
  <si>
    <t>Option 2: Irrigation System Performance</t>
  </si>
  <si>
    <t>Irrigation water consumption data (atleast 12 months)</t>
  </si>
  <si>
    <t>Alternate Water Performance (%)</t>
  </si>
  <si>
    <t>Option 1: Water Metering</t>
  </si>
  <si>
    <t>Schematic diagram showing the location of water meters, installed in the project.</t>
  </si>
  <si>
    <t>Manufacturer cut-sheets/ brochures of the installed water meters</t>
  </si>
  <si>
    <t>Photographs of the installed water meters</t>
  </si>
  <si>
    <t>Purchase invoice of the installed water meters</t>
  </si>
  <si>
    <t>Manufacturer cut-sheets/ brochures of the real time water monitoring dashboard.</t>
  </si>
  <si>
    <t>Option 2: Water Dashboard</t>
  </si>
  <si>
    <t>Photographs of the installed water monitoring dashboard</t>
  </si>
  <si>
    <t>Purchase invoice of the installed water monitoring dashboard</t>
  </si>
  <si>
    <t>Project commitment to share performance data for next three years on half-yearly basis.</t>
  </si>
  <si>
    <t>No. of meters installed</t>
  </si>
  <si>
    <t>AND/OR</t>
  </si>
  <si>
    <t>Demonstrate that the project owner has signed an agreement with third party: commissioning authority, not involved in the design. The commissioning authority is also required to have at least 3 years prior experience in equipment and systems</t>
  </si>
  <si>
    <t>Annual Room Nights                    Σ(Number of rooms occupied each night)</t>
  </si>
  <si>
    <t>Owner Name</t>
  </si>
  <si>
    <t>Operator Name</t>
  </si>
  <si>
    <t>Location of the Project</t>
  </si>
  <si>
    <t>Hotel in operation (No. of Years)</t>
  </si>
  <si>
    <t>Total Site Area (sq.m)</t>
  </si>
  <si>
    <t>Landscape Area (sq.m)</t>
  </si>
  <si>
    <t>Hardscape Area (sq.m)</t>
  </si>
  <si>
    <t>Native/Adaptive Area (sq.m)</t>
  </si>
  <si>
    <t>Reporting time period                             (Ex. Apr 25 - Mar 26)</t>
  </si>
  <si>
    <t>Note: Consider same reporting period as annual room nights</t>
  </si>
  <si>
    <t>Anticipated</t>
  </si>
  <si>
    <t>Yes</t>
  </si>
  <si>
    <t>Area Input</t>
  </si>
  <si>
    <t>Hardscape materials with SRI (29-64) (mention value)</t>
  </si>
  <si>
    <t>% Area Mitigated</t>
  </si>
  <si>
    <t>Mitigation Measure Adopted</t>
  </si>
  <si>
    <t>UHI Mitigation Calculation</t>
  </si>
  <si>
    <t>Source for Rainfall data (Link/Screenshot)</t>
  </si>
  <si>
    <t>Guests</t>
  </si>
  <si>
    <t>Staffs</t>
  </si>
  <si>
    <t>Visitors</t>
  </si>
  <si>
    <t>˗˗˗</t>
  </si>
  <si>
    <t>Population</t>
  </si>
  <si>
    <t>Water Closets (Full-flush)</t>
  </si>
  <si>
    <t>Water Closets (Half-flush)</t>
  </si>
  <si>
    <t>Mandatory Requirement</t>
  </si>
  <si>
    <t>Evapotranspiration rate (m/day)</t>
  </si>
  <si>
    <t>Plant factor</t>
  </si>
  <si>
    <t>Irrigation system</t>
  </si>
  <si>
    <t>Water req. (Litres/day)</t>
  </si>
  <si>
    <t>Landscape area (sq. m)</t>
  </si>
  <si>
    <t>Total daily water requirement (I)</t>
  </si>
  <si>
    <t>Total monthly water requirement (I)</t>
  </si>
  <si>
    <t>Total Annual Water Requirement</t>
  </si>
  <si>
    <t>Average Daily Water Requirement for Irrigation</t>
  </si>
  <si>
    <t>Average Daily Water used</t>
  </si>
  <si>
    <t xml:space="preserve">% Savings </t>
  </si>
  <si>
    <t>Total no. of employees</t>
  </si>
  <si>
    <t>Employees from the local areas</t>
  </si>
  <si>
    <t>Tick ☑ on either Option 1 or Option 2 to display the corresponding option calculation</t>
  </si>
  <si>
    <t>(AND)</t>
  </si>
  <si>
    <t>Parameter</t>
  </si>
  <si>
    <t>Dry Waste in kg/guest night</t>
  </si>
  <si>
    <t>Food Waste in kg/guest night</t>
  </si>
  <si>
    <t>% Savings</t>
  </si>
  <si>
    <t>Rainwater Storage Capacity (Tank or Ponds) (m³)</t>
  </si>
  <si>
    <t>Total Capacity</t>
  </si>
  <si>
    <t>Conversion factor into kWh</t>
  </si>
  <si>
    <t>Total in kWh</t>
  </si>
  <si>
    <t>On-site</t>
  </si>
  <si>
    <t>Off-site</t>
  </si>
  <si>
    <t>Electricity Grid (kWh)</t>
  </si>
  <si>
    <t>Renewable Energy (kWh)</t>
  </si>
  <si>
    <t>DG set (Litres)</t>
  </si>
  <si>
    <t>LPG (kg)</t>
  </si>
  <si>
    <t>PNG (SCM)</t>
  </si>
  <si>
    <t>Energy Use Intensity</t>
  </si>
  <si>
    <t>Climatic Zone of the Hotel</t>
  </si>
  <si>
    <t>Baseline EUI (kWh/room nights)</t>
  </si>
  <si>
    <t>Month 1</t>
  </si>
  <si>
    <t>Month 2</t>
  </si>
  <si>
    <t>Month 3</t>
  </si>
  <si>
    <t>Month 4</t>
  </si>
  <si>
    <t>Month 5</t>
  </si>
  <si>
    <t>Month 6</t>
  </si>
  <si>
    <t>Month 7</t>
  </si>
  <si>
    <t>Month 8</t>
  </si>
  <si>
    <t>Month 9</t>
  </si>
  <si>
    <t>Month 10</t>
  </si>
  <si>
    <t>Month 11</t>
  </si>
  <si>
    <t>Month 12</t>
  </si>
  <si>
    <t>Mention month name and year</t>
  </si>
  <si>
    <t>Sl. No</t>
  </si>
  <si>
    <t>No</t>
  </si>
  <si>
    <t>Type of Embodied Carbon data</t>
  </si>
  <si>
    <t>Sl. No.</t>
  </si>
  <si>
    <t>Name of food item</t>
  </si>
  <si>
    <t>Distance from source</t>
  </si>
  <si>
    <t>Remarks</t>
  </si>
  <si>
    <t>Name of the Hotel</t>
  </si>
  <si>
    <t>Location of Hotel</t>
  </si>
  <si>
    <t>Arid</t>
  </si>
  <si>
    <t>Capacity of the on-site renewable system</t>
  </si>
  <si>
    <t>Capacity of the off-site renewable system</t>
  </si>
  <si>
    <t>On-site Renewable Energy</t>
  </si>
  <si>
    <t>Off-site Renewable Energy</t>
  </si>
  <si>
    <t>Combined Renewable energy (On-site &amp; Off-site)</t>
  </si>
  <si>
    <t>Emission value</t>
  </si>
  <si>
    <t>Local Food Procurement Data</t>
  </si>
  <si>
    <t>List down all the food items in the datasheet below along with the distance of procurement</t>
  </si>
  <si>
    <t>Total number of guests served / accommodated</t>
  </si>
  <si>
    <t>No.s</t>
  </si>
  <si>
    <t>Guests catered through low-emitting transport</t>
  </si>
  <si>
    <t>Case A: Mechanically Ventilated Spaces</t>
  </si>
  <si>
    <t>Demonstrate that the fresh air ventilation in all regularly occupied areas to meet the minimum ventilation rates, as prescribed in ASHRAE Standard 62.1 – 2022</t>
  </si>
  <si>
    <t>Case B: Non Air-conditioned Spaces</t>
  </si>
  <si>
    <t>Openable Area</t>
  </si>
  <si>
    <t>Total Carpet Area</t>
  </si>
  <si>
    <t>Percentage of Openable Area to the Total Carpet Area</t>
  </si>
  <si>
    <t>For sliding windows/ doors, only openable area to the exteriors shall be considered in calculations.</t>
  </si>
  <si>
    <t>Windows / doors should not have any obstruction within 2 m from the exterior surface</t>
  </si>
  <si>
    <t>Shading devices can be excluded</t>
  </si>
  <si>
    <t>Openings for fresh air intake shall be located at least 7.6 m away from exhaust stacks, parking areas, cooling tower and/or any other polluting sources</t>
  </si>
  <si>
    <t>HVAC layout indicating fresh air supplied to each regular occupied areas highlighting the location of AHU’s, TFA’s and fresh air intake louvers.</t>
  </si>
  <si>
    <t>Specification sheets of the fresh air ventilation system installed</t>
  </si>
  <si>
    <t>Purchase invoice of the fresh air ventilation system installed.</t>
  </si>
  <si>
    <t>Photographs of the fresh air ventilation system and fresh air intakes provided.</t>
  </si>
  <si>
    <t>Floor plans with window and door schedule</t>
  </si>
  <si>
    <t>Building elevations showing operable windows and doors</t>
  </si>
  <si>
    <t>Photographs showing the operable windows and doors to the exteriors, in all the regularly occupied areas</t>
  </si>
  <si>
    <t>The ventilation requirements for smoking room shall be followed as per ASHRAE 62.1 2022.</t>
  </si>
  <si>
    <t>Direct exhaust to the outdoors, without recirculation to other spaces.</t>
  </si>
  <si>
    <t>Enclosed smoking room with impermeable deck-to-deck partitions on all sides.</t>
  </si>
  <si>
    <t>Maintain negative pressure of at least 5 Pascals (Pa), measured as an average pressure differential with respect to adjacent spaces.</t>
  </si>
  <si>
    <t>Provide no smoking signages in other common areas</t>
  </si>
  <si>
    <t>The conditioned air entry into the smoking zone shall not return or be transferred to the air-handling units. This air shall be completely exhausted.</t>
  </si>
  <si>
    <t>The exhaust air louver / duct should be located at least 7.6 meters away from building ey or fresh air intakes.</t>
  </si>
  <si>
    <t>Ventilation calculations for smoking room as per ASHRAE 62.1 2022</t>
  </si>
  <si>
    <t>Provide drawings of ventilation system indicating separate exhaust duct for the dedicated smoking rooms.</t>
  </si>
  <si>
    <t>Details of how pressurization are maintained in smoking rooms.</t>
  </si>
  <si>
    <t>Photographs of the smoking rooms.</t>
  </si>
  <si>
    <t>Photographs of no smoking signages in common areas.</t>
  </si>
  <si>
    <t>The project can choose any one of the following options to show compliance:</t>
  </si>
  <si>
    <t>Option 1: Simulation Approach</t>
  </si>
  <si>
    <t>Measurements shall be taken after installation of furniture, equipment &amp; systems at work plane height at 9 am, 12 pm, and 3 pm, on a 10 foot square grid. To show compliance, consider the average of the measurements taken at 9 am, 12 pm, and 3 pm.</t>
  </si>
  <si>
    <t xml:space="preserve">Demonstrate through daylight illuminance measurement that 50% of the guest areas in the building achieve daylight illuminance levels for a minimum of 100 Lux. Areas with 2,000 Lux or more daylight illumination levels shall be not considered. </t>
  </si>
  <si>
    <t>Option 2: Measurement Approach</t>
  </si>
  <si>
    <t>Draft daylight simulation report with sky conditions (such as date &amp; month; time; ambient Lux levels) and wall, floor &amp; roof reflectance properties, for all the regularly occupied spaces in the building. During simulation, consider shading devices and ‘shadow effect’ of adjacent buildings.</t>
  </si>
  <si>
    <t>Site/ master plan showing the building</t>
  </si>
  <si>
    <t>Floor/ roof plans with window and skylight schedule.</t>
  </si>
  <si>
    <t>Manufacturer brochure/ cut-sheet/ letter of the glass installed showing the Visual Light Transmittance (VLT).</t>
  </si>
  <si>
    <t>Purchase invoice of the glass used in the project.</t>
  </si>
  <si>
    <t>Photographs showing the building elevations (all sides) and interiors spaces at different floors.</t>
  </si>
  <si>
    <t>Daylight analysis report indicating daylight illuminance levels measured at work plane height, for all the regularly occupied spaces in the building</t>
  </si>
  <si>
    <t>Regularly occupied areas include guest rooms, lobbies, restaurants, meeting and banquet halls, reception areas, lounges, spas, gyms, and staff workstations</t>
  </si>
  <si>
    <t>Non-regularly occupied areas include toilets, store rooms, etc</t>
  </si>
  <si>
    <t>Site/ master plan showing the building.</t>
  </si>
  <si>
    <t>Furniture layouts of all floors.</t>
  </si>
  <si>
    <t>Sectional drawings indicating the direct line of sight to vision glazing, for each typical floor.</t>
  </si>
  <si>
    <t>Calculations (floor-wise) indicating the regularly occupied spaces having access to outdoor views to the total regularly occupied spaces</t>
  </si>
  <si>
    <t>Photographs showing the outdoor views, for all the floors.</t>
  </si>
  <si>
    <t>Input Value</t>
  </si>
  <si>
    <t>Compliant/Not Compliant</t>
  </si>
  <si>
    <t>Option 1: Wellness Suite</t>
  </si>
  <si>
    <t>≥5% rooms</t>
  </si>
  <si>
    <t>Option 2: Physical Wellbeing Facilities</t>
  </si>
  <si>
    <r>
      <t xml:space="preserve">Option 2: Physical Wellbeing Facilities: </t>
    </r>
    <r>
      <rPr>
        <sz val="12"/>
        <rFont val="Carlito"/>
      </rPr>
      <t>Provide facilities to promote physical fitness of the occupants</t>
    </r>
  </si>
  <si>
    <t>Facilities</t>
  </si>
  <si>
    <t>Bicycle facilities with cycling tracks</t>
  </si>
  <si>
    <t>Walking trails through landscaped gardens</t>
  </si>
  <si>
    <t>Gym</t>
  </si>
  <si>
    <t>Indoor games</t>
  </si>
  <si>
    <t>Swimming pool</t>
  </si>
  <si>
    <t>1 point for any two facilities</t>
  </si>
  <si>
    <t>Yoga/Meditation zones</t>
  </si>
  <si>
    <t>Zen Garden</t>
  </si>
  <si>
    <t>Water features</t>
  </si>
  <si>
    <t>Sensory Gardens</t>
  </si>
  <si>
    <t>Healing therapies</t>
  </si>
  <si>
    <t>Reading Spaces</t>
  </si>
  <si>
    <r>
      <t xml:space="preserve">Option 3: Spiritual Wellbeing Facilities: </t>
    </r>
    <r>
      <rPr>
        <sz val="12"/>
        <rFont val="Carlito"/>
      </rPr>
      <t>Provide designated spaces for relaxation to promote spiritual well-being of guests</t>
    </r>
  </si>
  <si>
    <t>Layout plans showing designated wellness-focused rooms and incorporated features.</t>
  </si>
  <si>
    <t>Technical specifications of installed wellness-related features.</t>
  </si>
  <si>
    <t>Photographs of wellness elements integrated in suites.</t>
  </si>
  <si>
    <t>Layout highlighting the location of physical wellness amenities.</t>
  </si>
  <si>
    <t>Photographs of facilities provided for physical wellbeing.</t>
  </si>
  <si>
    <t>Option 3: Spiritual Wellbeing Facilities</t>
  </si>
  <si>
    <t>Layout plan highlighting the dedicated spaces for spiritual wellbeing.</t>
  </si>
  <si>
    <t>Photographs of dedicated spaces for spiritual wellbeing.</t>
  </si>
  <si>
    <t>Option 1: Indigenous Art, Craft &amp; Architecture</t>
  </si>
  <si>
    <t>Incorporate locally crafted furniture, décor elements, artworks, or sculptures that authentically represent the region’s cultural heritage.</t>
  </si>
  <si>
    <t>Incorporate locally produced textiles such as handwoven rugs, upholstery, curtains, or bed linens featuring traditional patterns or weaving techniques.</t>
  </si>
  <si>
    <t>Apply vernacular materials or traditional construction techniques (e.g., bamboo, cane, terracotta, local stone) in interior or architectural features.</t>
  </si>
  <si>
    <t>Option 2: Local Culture &amp; Experience</t>
  </si>
  <si>
    <t>Design guest rooms and common areas using themes, motifs, or narratives inspired by local culture, history, or heritage to strengthen guest connection with the destination</t>
  </si>
  <si>
    <t>Embed elements of local music, folklore, performing arts, or storytelling traditions within guest experiences or interior ambience to enhance cultural engagement.</t>
  </si>
  <si>
    <t>List of vernacular art and culture elements implemented in guest rooms and common areas.</t>
  </si>
  <si>
    <t>Photographs and videos of the measures promoted by the hotel</t>
  </si>
  <si>
    <t>Provide at least one accessible guest room or 2% of total rooms (whichever is higher) with the following features</t>
  </si>
  <si>
    <t>Barrier-free access from lobby to guest room.</t>
  </si>
  <si>
    <t>Door width: Minimum 900 mm; corridor width: Minimum 1200 mm.</t>
  </si>
  <si>
    <t>Turning radius: Minimum 1500 mm in room and bathroom.</t>
  </si>
  <si>
    <t>Accessible bathroom fittings: Grab bars, roll-in shower, lever handles, and accessible mirror and wash basin.</t>
  </si>
  <si>
    <t>Switches, sockets, and controls positioned 900–1200 mm above floor.</t>
  </si>
  <si>
    <t>Visual/auditory alarms for safety where applicable.</t>
  </si>
  <si>
    <t>Signage with tactile/Braille information.</t>
  </si>
  <si>
    <t>Option 1: IEQ Monitoring Systems</t>
  </si>
  <si>
    <t>Provide a continuous IAQ monitoring system in densely occupied areas (meeting/conference/seminar halls) to measure and display real-time values for at least four (4) of the parameters and maintain within the threshold values as per Indoor Environment Quality Standard, ISHRAE Standard -10001:2019</t>
  </si>
  <si>
    <t>Option 2: Kitchen IAQ Monitoring</t>
  </si>
  <si>
    <t>Provide a continuous IAQ monitoring system in kitchen to measure and display at least four (4) of the following parameters and maintain within the threshold values as per Indoor Environment Quality Standard, ISHRAE Standard -10001:2019.</t>
  </si>
  <si>
    <t>Option 3: Acoustic Comfort</t>
  </si>
  <si>
    <t>Demonstrate that reverberation time (RT) in regularly occupied spaces meets the values specified in the table through acoustic calculations, in accordance with National Building Code of India 2016 Part 8, Section 4 – Acoustics (Clause 1.4: Room Acoustics).</t>
  </si>
  <si>
    <r>
      <t>Room Volume (m</t>
    </r>
    <r>
      <rPr>
        <b/>
        <vertAlign val="superscript"/>
        <sz val="11"/>
        <rFont val="Carlito"/>
      </rPr>
      <t>3</t>
    </r>
    <r>
      <rPr>
        <b/>
        <sz val="11"/>
        <rFont val="Carlito"/>
      </rPr>
      <t>)</t>
    </r>
  </si>
  <si>
    <r>
      <t>Absorption coefficient (</t>
    </r>
    <r>
      <rPr>
        <b/>
        <sz val="11"/>
        <rFont val="Calibri"/>
        <family val="2"/>
      </rPr>
      <t>α</t>
    </r>
    <r>
      <rPr>
        <b/>
        <sz val="11"/>
        <rFont val="Carlito"/>
      </rPr>
      <t>)</t>
    </r>
  </si>
  <si>
    <t>Surface area (S)</t>
  </si>
  <si>
    <t>Reveberation Time (RT)</t>
  </si>
  <si>
    <t>Option 1: Continuous Monitoring Systems</t>
  </si>
  <si>
    <t>Layout plan highlighting sensor installation locations in regularly occupied common areas</t>
  </si>
  <si>
    <t>Air quality monitoring report highlighting air quality: PM 2.5, PM 10, CO2 etc</t>
  </si>
  <si>
    <t>Manufacturer cutsheet of air quality monitoring systems used in the project.</t>
  </si>
  <si>
    <t>Photographs of the display boards for creating awareness amongst guests &amp; visitors about the air quality</t>
  </si>
  <si>
    <t>Purchase invoice and photographs of the locations and air quality monitoring systems used in the project.</t>
  </si>
  <si>
    <t>Layout plan highlighting sensor installation locations in kitchens</t>
  </si>
  <si>
    <t>Air quality monitoring report highlighting air quality parameters</t>
  </si>
  <si>
    <t>Photographs of the air quality monitoring system</t>
  </si>
  <si>
    <t>Purchase invoice of the air quality monitoring systems used in the project</t>
  </si>
  <si>
    <t>Manufacturer cut- sheets indicating the absorption co-efficient of the materials installed.</t>
  </si>
  <si>
    <t>Photographs showing acoustic materials installed.</t>
  </si>
  <si>
    <t>Purchase invoice of the acoustic materials used in the hotel.</t>
  </si>
  <si>
    <t>Conduct a guest comfort survey for comfort parameters (visual comfort, thermal comfort, acoustics comfort, olfactory comfort, and ergonomics) and demonstrate that at least 80% of guests are satisfied with the comfort parameters provided.</t>
  </si>
  <si>
    <t>Copy of the guest comfort survey questionnaire covering visual, thermal, acoustic, olfactory, and ergonomic comfort parameters.</t>
  </si>
  <si>
    <t>Survey responses or summary of results indicating the percentage of guest satisfaction for each parameter</t>
  </si>
  <si>
    <t>Option 1: Staff Education &amp; Capacity Building:</t>
  </si>
  <si>
    <t>Demonstrate that the hotel creates opportunities to impart green education equivalent to at least 1% of man-days per employee per year. (equivalent to 32 hours including in- house and external training programs)</t>
  </si>
  <si>
    <t>Option 2: Guest Education &amp; Engagement:</t>
  </si>
  <si>
    <t>Display educational material and signage to raise awareness among guests about the hotel’s green initiatives and sustainable lifestyle choices.</t>
  </si>
  <si>
    <t>Introduce a reward or recognition mechanism for guests who actively participate in resource conservation efforts.</t>
  </si>
  <si>
    <t>Option 1: Staff Awareness &amp; Capacity Building</t>
  </si>
  <si>
    <t>Training calendar and attendance records indicating frequency and topics covered under sustainability training sessions.</t>
  </si>
  <si>
    <t>Training materials or presentation content used during awareness programmes.</t>
  </si>
  <si>
    <t>Copy of Green O&amp;M Guidelines or Sustainability Handbook adopted by the hotel.</t>
  </si>
  <si>
    <t>Photographs of awareness programmes</t>
  </si>
  <si>
    <t>Option 2: Guest Awareness &amp; Engagement</t>
  </si>
  <si>
    <t>Details of guest participation programmes such as linen reuse, waste segregation, or green mobility.</t>
  </si>
  <si>
    <t>Photographs or screenshots of educational signages, digital displays, or awareness materials displayed in guest areas.</t>
  </si>
  <si>
    <t>Rewards instituted to acknowledge the efforts for guests who actively participate in resource conservation efforts.</t>
  </si>
  <si>
    <t>Demonstrate that the drinking water is treated to meet the following drinking water specifications as per IS 10500- 2012 ‘Drinking Water- Specification Standard’:</t>
  </si>
  <si>
    <t>Technical sheet of the installed drinking water system.</t>
  </si>
  <si>
    <t>Quarterly drinking water test reports</t>
  </si>
  <si>
    <t>Photographs of the drinking water system installed.</t>
  </si>
  <si>
    <t>Certified Organic Items</t>
  </si>
  <si>
    <t>≥50% guest areas maintain 100–2,000 lux for ≥90% potential daylight hours (1 credit)</t>
  </si>
  <si>
    <t>Option 1: Organic F&amp;B Sourcing</t>
  </si>
  <si>
    <t>Option 2: Responsibly Sourced Animal Products</t>
  </si>
  <si>
    <t>Option 1: Organic F&amp;B Consumption</t>
  </si>
  <si>
    <t>Valid certification documents from National Program for Organic Produce(NPOP), Agricultural and Processed Food Products Export Development Authority (APEDA), PGS-India (Participatory Guarantee Scheme) or equivalent.</t>
  </si>
  <si>
    <t>Internal log records of Organic Produce sourced from F&amp;B department.</t>
  </si>
  <si>
    <t>Purchase invoice of the organic produce sourced.</t>
  </si>
  <si>
    <t>Menu samples indicating organic meal offerings to guests. shall be responsibly sourced.</t>
  </si>
  <si>
    <t>Option 2: Responsible sourcing of animal products</t>
  </si>
  <si>
    <t>Valid certification documents from Certified Humane (India supply chains), AWBI Good Husbandry Practices, GAP (for imported animal products).</t>
  </si>
  <si>
    <t>Internal log records for responsible sourcing of animal products from F&amp;B department</t>
  </si>
  <si>
    <t>Purchase invoice of the responsible sourced food.</t>
  </si>
  <si>
    <t>Option 1: Healthy Food Menu</t>
  </si>
  <si>
    <t>Offer dedicated Healthy menu options prepared from whole, unprocessed ingredients, free from artificial flavors, colors, and preservatives</t>
  </si>
  <si>
    <t>Option 2: Local &amp; Regional Cuisine</t>
  </si>
  <si>
    <t>Serve regional or traditional local dishes as part of menu options, prepared using locally sourced or seasonal ingredients to celebrate regional diversity and reduce food miles.</t>
  </si>
  <si>
    <t>Option 3: Special Dietary Options</t>
  </si>
  <si>
    <t>Provide special dietary meal options such as vegan, gluten-free, lactose-free, or low- calorie options, are included as part of regular offerings</t>
  </si>
  <si>
    <t>Option 4: Nutrition Label</t>
  </si>
  <si>
    <t>Display information for all food and beverage items served within the facility. Hotels may provide details on Glycemic Index (GI), carbohydrates, fats, and proteins to enhance guest awareness.</t>
  </si>
  <si>
    <t>Option 5: Allergen Disclosure</t>
  </si>
  <si>
    <t>Disclose the presence of common allergens (such as milk, eggs, gluten, nuts, soy, and shellfish) on menus, buffet counters, or display boards.</t>
  </si>
  <si>
    <t>Copy of menu and list of ingredients which were used as alternatives for items without artificial additives or processed ingredients</t>
  </si>
  <si>
    <t>Purchase invoice or sourcing records showing use of local, seasonal, or organic ingredients where applicable</t>
  </si>
  <si>
    <t>Copy of menu with Local and regional cuisine options</t>
  </si>
  <si>
    <t>Photographs of the dishes being served under Local &amp; Regional Cuisine.</t>
  </si>
  <si>
    <t>Purchase invoice or sourcing records showing use of local and seasonal food as per the requirement of the dish.</t>
  </si>
  <si>
    <t>Copy of menu indicating the special dietary options available in the hotel.</t>
  </si>
  <si>
    <t>Photographs of special dietary options displayed in the buffet area.</t>
  </si>
  <si>
    <t>Nutritional information sheet (calorie count and breakdown) for representative menu items.</t>
  </si>
  <si>
    <t>Photographs of nutrition label displayed for the cooked dishes in the buffet area</t>
  </si>
  <si>
    <t>Option 5: Allergen Declaration</t>
  </si>
  <si>
    <t>Copy of menu indicating the allergen foods available in the hotel.</t>
  </si>
  <si>
    <t>Photographs of allergen declaration cards displayed in the buffet area.</t>
  </si>
  <si>
    <t>Any 3 measures, 3 credit points</t>
  </si>
  <si>
    <t>Option 1: Eco- Friendly Housekeeping Chemicals</t>
  </si>
  <si>
    <t>Use of eco-friendly (biodegradable and non-toxic) cleaning agents or GreenPro or Type 1 Eco Labelled products for the following applications within the hotel premises:</t>
  </si>
  <si>
    <t>Carpet cleaning</t>
  </si>
  <si>
    <t>Option 2: Chemical Use Intensity (CUI)</t>
  </si>
  <si>
    <t>Demonstrate that the annual chemical consumption per guest night is within 1 litre/room night</t>
  </si>
  <si>
    <t>1 point for ≤ 1 litre/room night</t>
  </si>
  <si>
    <t xml:space="preserve">Option 1: Eco- Friendly Housekeeping Chemicals </t>
  </si>
  <si>
    <t>Purchase invoices for the eco-friendly or equivalent chemicals of the last 3 months.</t>
  </si>
  <si>
    <t>Technical data sheets for the selected eco-friendly / biodegradable / non-toxic chemicals (GreenPro or Type-1 Eco-Label equivalent).</t>
  </si>
  <si>
    <t>Photographs of the chemicals highlighting the ingredients.</t>
  </si>
  <si>
    <t>Log record indicating the chemical consumption for 12 months along with number of room nights.</t>
  </si>
  <si>
    <t>Implement a hotel-wide linen reuse policy across all guest rooms to reduce the frequency of washing bed linens and towels along with housekeeping procedures to ensure consistent implementation across all guest rooms.</t>
  </si>
  <si>
    <t>Highlight the guest communication materials (signage, in-room information, or digital prompts) encouraging guests to participate</t>
  </si>
  <si>
    <t>Copy of the approved linen reuse policy implemented in the facility.</t>
  </si>
  <si>
    <t>Photographs of the installed guest communication materials displayed in guest rooms.</t>
  </si>
  <si>
    <t>Housekeeping standard operating procedures (SOPs) demonstrating implementation of the reuse policy in the project.</t>
  </si>
  <si>
    <t>Records/logs or housekeeping checklists confirming adoption of reduced linen and towel washing frequency.</t>
  </si>
  <si>
    <t>1 credit point</t>
  </si>
  <si>
    <t>Demonstrate that the hotel procures guest toiletries that are made from natural ingredients or are free from harmful chemicals</t>
  </si>
  <si>
    <t>The project shall demonstrate compliance through any one or a combination of the following measures</t>
  </si>
  <si>
    <t>Toiletry Product</t>
  </si>
  <si>
    <t>Product Composition</t>
  </si>
  <si>
    <t>Toothpaste</t>
  </si>
  <si>
    <t>Organic/Natural or free from SLS, Triclosan &amp; Paraben</t>
  </si>
  <si>
    <t>Shampoo &amp; Conditioner</t>
  </si>
  <si>
    <t>Moisturizer</t>
  </si>
  <si>
    <t>Shower Gel</t>
  </si>
  <si>
    <t>Organic/Natural or free from SLS, Triclosan, Phthalate &amp; Paraben</t>
  </si>
  <si>
    <t>Organic/Natural or free from Silicones, Phthalate &amp; Paraben</t>
  </si>
  <si>
    <t>1 credit point for 2 products</t>
  </si>
  <si>
    <t>Product specification sheets of the toiletries provided in the project</t>
  </si>
  <si>
    <t>Purchase invoices of the last three months for the toiletries used in the project.</t>
  </si>
  <si>
    <t>Photographs of the toiletries provided in the project.</t>
  </si>
  <si>
    <t>Option 1: Pool Water Quality Monitoring System</t>
  </si>
  <si>
    <t>Project Input</t>
  </si>
  <si>
    <t>Option 2: Alternative Pool Water Treatment Systems</t>
  </si>
  <si>
    <t>Treat swimming pool water using chemical-free or low-chemical alternatives</t>
  </si>
  <si>
    <t>Free residual chlorine in swimming pools</t>
  </si>
  <si>
    <t>1 credit point for either of the option</t>
  </si>
  <si>
    <t>Technical details of the installed monitoring system, including calibration settings and operating ranges.</t>
  </si>
  <si>
    <t>Site plan indicating the actual location of the swimming pool and monitoring equipment.</t>
  </si>
  <si>
    <t>Purchase invoice of monitoring system, including sensors, display units installed in the project</t>
  </si>
  <si>
    <t>Photographs of the installed monitoring system, including sensors, display units installed in the project</t>
  </si>
  <si>
    <t>Technical details of the installed system including capacity, operational parameters and performance achieved in the project.</t>
  </si>
  <si>
    <t>Site plan indicating the location of the swimming pool and treatment system.</t>
  </si>
  <si>
    <t>Water quality test reports/log books of the past three months demonstrating the performance of the installed system.</t>
  </si>
  <si>
    <t>Photographs/Videos of the swimming pool and treatment system.</t>
  </si>
  <si>
    <t>Use organic fertilisers &amp; pesticides for 100% of requirement for landscape area.</t>
  </si>
  <si>
    <t>Organic Fertilisers include Vermicompost, Leaf mould, Bone meal, Farmyard manure, Deoiled cakes like neem cake, pongamia cake, Castor cake</t>
  </si>
  <si>
    <t>Organic Pesticides include Neem seed kernel extract, Chilli and garlic paste, Sitaphal seed powder, Chrysanthemum extracts, Panchagavya, Panchmrutham</t>
  </si>
  <si>
    <t>Details of the method implemented, including system type, capacity, suitability for landscape requirements, and process flow.</t>
  </si>
  <si>
    <t>Site plan highlighting the actual location of the system</t>
  </si>
  <si>
    <t>Sectional drawings of the implemented organic fertiliser/pesticide preparation or storage system.</t>
  </si>
  <si>
    <t>Past three months’ tax invoices and product/specification sheets of organic fertilisers and organic pesticides used.</t>
  </si>
  <si>
    <t>Photographs of the organic fertilisers and organic pesticides used.</t>
  </si>
  <si>
    <t>Minimum of two tree saplings for every 80 m² of the site area (or)</t>
  </si>
  <si>
    <t>Green cover/vegetation exceeds 25% of the total site area (or)</t>
  </si>
  <si>
    <t>Landscape area per guest room greater than 9 m² for 3-Star and below hotels, and greater than 14 m² for 4-Star and 5-Star hotels</t>
  </si>
  <si>
    <t>9% savings are achieved from ASHRAE 90.1-2022 base case (or)</t>
  </si>
  <si>
    <t>22% savings are achieved from ECSBC 2024 base case (or)</t>
  </si>
  <si>
    <t>22% of savings are achieved from EPI/EUI baseline</t>
  </si>
  <si>
    <t>Heat recovery is implemented for 3 or more systems</t>
  </si>
  <si>
    <t>WC Credit 1</t>
  </si>
  <si>
    <t>&gt;25% of potable water savings from efficient plumbing fixtures</t>
  </si>
  <si>
    <t>&gt;25% water reduction from baseline WUI</t>
  </si>
  <si>
    <t>&gt;25% of potable water savings</t>
  </si>
  <si>
    <t>Irrigation water consumption less than 4 litres/sq.m/day</t>
  </si>
  <si>
    <t>Black water and grey water are treated separately in the on-site wastewater treatment system.</t>
  </si>
  <si>
    <t>Water performance ratio is &gt; 65%.</t>
  </si>
  <si>
    <t>≥60% of employees are local (or)</t>
  </si>
  <si>
    <t>≥60% of food products</t>
  </si>
  <si>
    <t>≥ 40% of the total building materials and products (by cost) used in the hotel are GreenPro or Type 1 eco-labelled products</t>
  </si>
  <si>
    <t>≥ 6 passive or active green building materials, products, and equipment that are certified by GreenPro or Type 1 eco-labelled.</t>
  </si>
  <si>
    <t>≥60% of regularly occupied areas meet the daylighting requirement as defined in the credit</t>
  </si>
  <si>
    <t>&gt;95% of regularly occupied areas achieve direct line of sight to vision glazing requirement as defined in the credit.</t>
  </si>
  <si>
    <t>≥10% of rooms are provided as wellness suites (or)</t>
  </si>
  <si>
    <t>≥ 4 physical well-being facilities are provided (or)</t>
  </si>
  <si>
    <t>≥ 4 spiritual well-being facilities are provided.</t>
  </si>
  <si>
    <t>Exemplary Performance</t>
  </si>
  <si>
    <t>4 credit points</t>
  </si>
  <si>
    <t>Table indicating quantitative performance improvements, comparing baseline and design case</t>
  </si>
  <si>
    <t>Other supporting documents such as drawings, illustrations, cut-sheets, test reports, etc., as applicable</t>
  </si>
  <si>
    <t>Option 1: Innovation</t>
  </si>
  <si>
    <t>Identify the intent of innovation credit, requirement for compliance, approach used to meet the required measures, and documentation to demonstrate compliance</t>
  </si>
  <si>
    <t>Quantitative performance improvements (comparing a baseline and design case).</t>
  </si>
  <si>
    <t>Strategy must be significantly better than standard sustainable design &amp; construction practices.</t>
  </si>
  <si>
    <t>Measures must be voluntary. Measures that are mandated by the local byelaws and not addressed in the rating system are not eligible for Innovation.</t>
  </si>
  <si>
    <r>
      <t xml:space="preserve">Notes: </t>
    </r>
    <r>
      <rPr>
        <b/>
        <i/>
        <sz val="12"/>
        <rFont val="Carlito"/>
      </rPr>
      <t>The project shall also meet the following criteria for achieving an Innovation point:</t>
    </r>
  </si>
  <si>
    <t>Option 2: Exemplary Performance</t>
  </si>
  <si>
    <t>The project is eligible for exemplary performance, if the design and/ or construction measures greatly exceed the credit requirements of the IGBC Green Hotel rating system</t>
  </si>
  <si>
    <t>Narrative describing the strategies implemented to achieve exemplary performance in the respective base credit</t>
  </si>
  <si>
    <t>IGBC Accredited Professional certificate of participants involved in the project.</t>
  </si>
  <si>
    <t>Demonstrate that the hotel has adopted any of the following two green purchasing</t>
  </si>
  <si>
    <t xml:space="preserve">Option 1: Sustainable Procurement: </t>
  </si>
  <si>
    <t xml:space="preserve">Replace at least 75% of single-use plastics with Reusable/Eco-friendly alternatives in the following areas: </t>
  </si>
  <si>
    <t xml:space="preserve">Option 2: Plastic Free Hospitality: </t>
  </si>
  <si>
    <t>1 credit for any two measures</t>
  </si>
  <si>
    <r>
      <rPr>
        <sz val="11"/>
        <rFont val="Calibri"/>
        <family val="2"/>
      </rPr>
      <t>≥</t>
    </r>
    <r>
      <rPr>
        <sz val="11"/>
        <rFont val="Carlito"/>
      </rPr>
      <t>75% of single use plastics = 1 credit</t>
    </r>
  </si>
  <si>
    <t>Digital and Paperless Options</t>
  </si>
  <si>
    <t>1 credit for any one measures</t>
  </si>
  <si>
    <t>Green Guest Service</t>
  </si>
  <si>
    <t>Dry Waste: Dry waste shall include non-biodegradable waste generated from hotel operations such as paper, cardboard, plastics, glass, metals, tetra packs, packaging materials, and other recyclable or non-organic waste from guest rooms and common areas</t>
  </si>
  <si>
    <t>Food Waste: Food waste shall include biodegradable waste generated from food service operations such as kitchen preparation waste, spoiled or expired food, buffet leftovers, and plate waste from restaurants and banquets</t>
  </si>
  <si>
    <t xml:space="preserve">Option 2: Green Operation &amp; Maintenance: </t>
  </si>
  <si>
    <t xml:space="preserve">Ensure that the project uses at least two passive or active green building materials, products, and equipment that are certified by GreenPro or Type 1 eco-labelled. </t>
  </si>
  <si>
    <t>No. of Certified Green Products - 2</t>
  </si>
  <si>
    <t>No. of Certified Green Products - 4</t>
  </si>
  <si>
    <t>Passive Products &amp; Materials include glazing, insulation, paints &amp; coatings, adhesives &amp; sealants, fly ash blocks, cement, concrete, composite wood, certified new wood, housekeeping chemicals, false ceiling materials, flooring materials, furniture, gypsum based products, high reflective materials &amp; coatings, etc.</t>
  </si>
  <si>
    <t>Active Products include Electrical systems (Lighting Systems &amp; Controls, Pumps &amp; Motors, etc.,), Mechanical systems (unitary air conditioners, etc.,), Plumbing Fixtures (faucets, showers, etc.,)</t>
  </si>
  <si>
    <t>Material/ products procured should be quantifiable with respect to the cost of operation &amp; maintenance.</t>
  </si>
  <si>
    <t>Landscape waste generated per sq.m per day</t>
  </si>
  <si>
    <t>Food waste generated per person per day</t>
  </si>
  <si>
    <t xml:space="preserve">Option 1: Aerobic Digestion: </t>
  </si>
  <si>
    <t>Total organic waste generated per day</t>
  </si>
  <si>
    <r>
      <t xml:space="preserve">System Efficiency: </t>
    </r>
    <r>
      <rPr>
        <i/>
        <sz val="11"/>
        <rFont val="Carlito"/>
      </rPr>
      <t>Demonstrate that the aerobic digestion system meets the equipment efficiency defined below.</t>
    </r>
  </si>
  <si>
    <r>
      <t xml:space="preserve">Treatment: </t>
    </r>
    <r>
      <rPr>
        <i/>
        <sz val="11"/>
        <rFont val="Carlito"/>
      </rPr>
      <t>Install an aerobic digestion system (eg: organic waste converter) for handling 100% of the organic waste generated in the hotel and utilize the manure generated within the hotel.</t>
    </r>
  </si>
  <si>
    <t>Provided organic waste composter capacity</t>
  </si>
  <si>
    <r>
      <t xml:space="preserve">Organic waste composter capacity </t>
    </r>
    <r>
      <rPr>
        <sz val="11"/>
        <rFont val="Calibri"/>
        <family val="2"/>
      </rPr>
      <t>≥</t>
    </r>
    <r>
      <rPr>
        <sz val="11"/>
        <rFont val="Carlito"/>
      </rPr>
      <t xml:space="preserve"> Total organic waste generated</t>
    </r>
    <r>
      <rPr>
        <sz val="11"/>
        <rFont val="Carlito"/>
      </rPr>
      <t xml:space="preserve"> (1 credit)</t>
    </r>
  </si>
  <si>
    <r>
      <t>Equipment Efficiency &lt; 0.06 kW/kg</t>
    </r>
    <r>
      <rPr>
        <sz val="11"/>
        <rFont val="Carlito"/>
      </rPr>
      <t xml:space="preserve"> (1 credit)</t>
    </r>
  </si>
  <si>
    <r>
      <t>Option 2: Anaerobic Digestion (Waste to Energy):</t>
    </r>
    <r>
      <rPr>
        <sz val="11"/>
        <rFont val="Carlito"/>
      </rPr>
      <t xml:space="preserve"> </t>
    </r>
  </si>
  <si>
    <t>Install on-site biogas treatment (WTE) system for handling more than 90% of the organic waste generated in the hotel</t>
  </si>
  <si>
    <t xml:space="preserve">1 credit </t>
  </si>
  <si>
    <t>Within acceptable limits (1 credit)</t>
  </si>
  <si>
    <t>2 credit point for atleat two Accredited Professionals</t>
  </si>
  <si>
    <t xml:space="preserve">Demonstrate that at least two members including the Project team and Architect/Designer or MEP Consultant are IGBC Accredited Professionals. </t>
  </si>
  <si>
    <t>Simulation report to be submitted demonstrating that at least 50% of the guest areas maintain illuminance values within the range of 100 lux to 2,000 lux for at least 90% of the potential daylight hours.</t>
  </si>
  <si>
    <t>Total Guest Room Area</t>
  </si>
  <si>
    <t>Guest room area with unobstructed views</t>
  </si>
  <si>
    <t>Total Reguarly occupied spaces</t>
  </si>
  <si>
    <t>Reguarly occupied spaces with unobstructed views</t>
  </si>
  <si>
    <t>Regularly occupied spaces ≥ 50% have direct line of sight</t>
  </si>
  <si>
    <t>Guest rooms ≥ 90% must have direct line of sight</t>
  </si>
  <si>
    <t>Regularly occupied areas are those where guests, staff, or visitors spend significant time as part of their stay or work, regardless of the number of days occupied in a year. These areas shall include only enclosed spaces.</t>
  </si>
  <si>
    <t>Total no. of rooms</t>
  </si>
  <si>
    <t>Total no. of wellness focussed rooms</t>
  </si>
  <si>
    <t>Total no. of preferred guest rooms</t>
  </si>
  <si>
    <t>1 credit</t>
  </si>
  <si>
    <t>Features:</t>
  </si>
  <si>
    <t>Display real-time values for at least four (4) of the parameters and maintain within the threshold values (1 credit)</t>
  </si>
  <si>
    <t>1 credit for ≥ 80% guests satisfied</t>
  </si>
  <si>
    <t>Total no. of responses</t>
  </si>
  <si>
    <t>Total no. of satisfied guests</t>
  </si>
  <si>
    <t>Total Sourced Fruits, Vegetables &amp; Grains</t>
  </si>
  <si>
    <t>Total Sourced Animal Products</t>
  </si>
  <si>
    <t>GreenPro or Type 1 Eco-Labelled</t>
  </si>
  <si>
    <t>The project shall comply with following statutory approvals from the Government of India or State Government authorities, as applicable:</t>
  </si>
  <si>
    <t>Implement the following measures during construction, as applicable:</t>
  </si>
  <si>
    <t>Natural Topology and Vegetation &gt; 15%</t>
  </si>
  <si>
    <t>Natural Topology and Vegetation &gt; 20%</t>
  </si>
  <si>
    <t>Performance Requirement</t>
  </si>
  <si>
    <t>Non-roof impervious areas include, but not limited to, footpaths, pathways, roads, driveways, bicycle lanes uncovered surface parking, and other impervious areas</t>
  </si>
  <si>
    <t>Exposed non-roof area need not include utility areas such as areas covered with DG sets, transformer, STP etc.,</t>
  </si>
  <si>
    <t>Trees / Saplings shall be in place at the time of certification</t>
  </si>
  <si>
    <t>Artificial vegetation shall not be considered</t>
  </si>
  <si>
    <t>SRI values of reflectance materials shall be as per ASTM Standards.</t>
  </si>
  <si>
    <t>All areas, including podium, covered surface parking and utility blocks, which are exposed to the sky (at and above ground level) shall be considered for the credit calculation under roof area</t>
  </si>
  <si>
    <r>
      <t xml:space="preserve">1 credit for non-roof coverage </t>
    </r>
    <r>
      <rPr>
        <sz val="11"/>
        <rFont val="Calibri"/>
        <family val="2"/>
      </rPr>
      <t>≥</t>
    </r>
    <r>
      <rPr>
        <sz val="11"/>
        <rFont val="Carlito"/>
      </rPr>
      <t xml:space="preserve"> 50%</t>
    </r>
  </si>
  <si>
    <t>SRI values of high reflectance materials shall be as per ASTM Standards</t>
  </si>
  <si>
    <t>All roof areas, including podium, Lift / staircase headroom, covered surface parking, utility blocks which are exposed to the sky shall be considered for this credit calculation.</t>
  </si>
  <si>
    <t>Exposed roof area does not include equipment platforms, areas with Solar Photovoltaic (SPV) &amp; Solar Water Heaters (SWH), skylights, driveways, roads, play areas, etc.</t>
  </si>
  <si>
    <t>Exposed parking covered with either metal/permanent roof would be considered under roof area calculation.</t>
  </si>
  <si>
    <r>
      <t xml:space="preserve">1 credit for roof coverage </t>
    </r>
    <r>
      <rPr>
        <sz val="11"/>
        <rFont val="Calibri"/>
        <family val="2"/>
      </rPr>
      <t>≥</t>
    </r>
    <r>
      <rPr>
        <sz val="11"/>
        <rFont val="Carlito"/>
      </rPr>
      <t xml:space="preserve"> 95%</t>
    </r>
  </si>
  <si>
    <t>Non-Roof Impervious Area Calculation</t>
  </si>
  <si>
    <t>Roof Area UHI Calculation</t>
  </si>
  <si>
    <t>Summary of Actions Taken</t>
  </si>
  <si>
    <t>1 credit for submitting heat map report</t>
  </si>
  <si>
    <t>1 credit for % Area Mitigated, Mitigation measure and Summary of Action taken</t>
  </si>
  <si>
    <t>Specify if any other measure adopted</t>
  </si>
  <si>
    <t>Rainwater Harvesting Capacity (Percolation Pit or Recharge Pits) (m³)</t>
  </si>
  <si>
    <t>Calculation demonstrating the Rainwater Harvesting capacity in excel sheet</t>
  </si>
  <si>
    <t>Specify month and year</t>
  </si>
  <si>
    <t>Guest nights (Summation of guests staying each night)</t>
  </si>
  <si>
    <t>Annual Guest Nights Calculation Table</t>
  </si>
  <si>
    <t>List of dish washer</t>
  </si>
  <si>
    <t>Type of dish washer</t>
  </si>
  <si>
    <t>✓/✗</t>
  </si>
  <si>
    <t>List of Pot and Pan washer</t>
  </si>
  <si>
    <t>Input Value (L/rack)</t>
  </si>
  <si>
    <t>Water consumption (L/cycle)</t>
  </si>
  <si>
    <t>Rack area (sq. ft.)</t>
  </si>
  <si>
    <t>Efficient washer (L/rack area)</t>
  </si>
  <si>
    <t>Efficient washer ≤ 2.6 L/rack area (sq.ft)</t>
  </si>
  <si>
    <t>List of Laundry washers</t>
  </si>
  <si>
    <t>Water consumption per cycle (L/cycle)</t>
  </si>
  <si>
    <r>
      <t>Washer capacity (m</t>
    </r>
    <r>
      <rPr>
        <b/>
        <vertAlign val="superscript"/>
        <sz val="11"/>
        <rFont val="Carlito"/>
      </rPr>
      <t>3</t>
    </r>
    <r>
      <rPr>
        <b/>
        <sz val="11"/>
        <rFont val="Carlito"/>
      </rPr>
      <t>)</t>
    </r>
  </si>
  <si>
    <r>
      <t>Specific water consumption (L/cycle/m</t>
    </r>
    <r>
      <rPr>
        <b/>
        <vertAlign val="superscript"/>
        <sz val="11"/>
        <rFont val="Carlito"/>
      </rPr>
      <t>3</t>
    </r>
    <r>
      <rPr>
        <b/>
        <sz val="11"/>
        <rFont val="Carlito"/>
      </rPr>
      <t>)</t>
    </r>
  </si>
  <si>
    <r>
      <t>Specific water consumption ≤ 534.6 L/cycle/m</t>
    </r>
    <r>
      <rPr>
        <vertAlign val="superscript"/>
        <sz val="11"/>
        <rFont val="Carlito"/>
      </rPr>
      <t>3</t>
    </r>
  </si>
  <si>
    <t>Reuse treated rinse water for pre-wash cycles (Submit document or necessary proof)</t>
  </si>
  <si>
    <t>Exiting laundry performance ≤ 13.5 L/kg</t>
  </si>
  <si>
    <t>Purchase invoice showing make and model of installed laundry washer, wherever applicable.</t>
  </si>
  <si>
    <t>Photographs of laundry washer.</t>
  </si>
  <si>
    <t>Option 3 - Laundry water recycling</t>
  </si>
  <si>
    <t>Option 3: Laundry Water Recycling</t>
  </si>
  <si>
    <t>Narrative describing the laundry facility operations and the water recycling process.</t>
  </si>
  <si>
    <t>Single line drawing of the water recycling tank</t>
  </si>
  <si>
    <t>Manufacturer cut-sheets / brochures / technical data sheets indicating the data regarding water recycling for pre-wash cycles.</t>
  </si>
  <si>
    <t>Option 2: Laundry Water Performance</t>
  </si>
  <si>
    <t>Option 2 - Laundry water performance</t>
  </si>
  <si>
    <t>Water consumption from all laundry system</t>
  </si>
  <si>
    <t>Annual Laundry load</t>
  </si>
  <si>
    <t>Photographs of laundry equipment installed at site, covering washer extractors, hydro washers, ironing units, and water reuse systems.</t>
  </si>
  <si>
    <t>For the water consumption calculations, consider all the laundry systems such as Washer Extractor, Hydro Washer, Tumble Dryer, Flat Ironing/ Calender Machine, Steam Press/ Form Finisher, Water softener, Equipment for Dry Cleaning, Boiler/Hot water generator etc</t>
  </si>
  <si>
    <t>Guest Rooms (For Guests)</t>
  </si>
  <si>
    <t>Common area (Staffs and Visitors)</t>
  </si>
  <si>
    <t>Irrigation system efficiency</t>
  </si>
  <si>
    <t>Flood Irrigation</t>
  </si>
  <si>
    <t>Drip Irrigation</t>
  </si>
  <si>
    <t>Water Savings ≥ 20%</t>
  </si>
  <si>
    <t>Average Water Consumption ≤ 5 litres/sq.m/day</t>
  </si>
  <si>
    <t>STP Capacity</t>
  </si>
  <si>
    <t>Efficiency of the STP</t>
  </si>
  <si>
    <t>KLD</t>
  </si>
  <si>
    <t>Efficiency of the STP ≥ 100%</t>
  </si>
  <si>
    <t>Supporting calculations for alternate water consumption</t>
  </si>
  <si>
    <t>Dashboard implemented to monitor the performance and effiiciency of smart meters</t>
  </si>
  <si>
    <t>As per MoEFCC guidelines</t>
  </si>
  <si>
    <t>List of HVAC Equipments</t>
  </si>
  <si>
    <t>Refrigerant Type</t>
  </si>
  <si>
    <t>Type of Fire Suppression system</t>
  </si>
  <si>
    <r>
      <rPr>
        <b/>
        <i/>
        <sz val="11"/>
        <rFont val="Carlito"/>
      </rPr>
      <t xml:space="preserve">Note: </t>
    </r>
    <r>
      <rPr>
        <i/>
        <sz val="11"/>
        <rFont val="Carlito"/>
      </rPr>
      <t>In the existing hotels wherein ODP based refrigerant/gases are still used, the complete phase-out plan shall be submitted for the next 3 years</t>
    </r>
  </si>
  <si>
    <t>Reporting period (12 months)</t>
  </si>
  <si>
    <t>Months</t>
  </si>
  <si>
    <t>Annual room nights</t>
  </si>
  <si>
    <t>Annual Room Nights Calculation Table</t>
  </si>
  <si>
    <t>litres/room night</t>
  </si>
  <si>
    <t xml:space="preserve">GDP Value </t>
  </si>
  <si>
    <t>Use eco -friendly refrigerants or refrigerants with less than 2100 GWP in all HVACR equipment and system by following MoEFCC guidelines and regulation</t>
  </si>
  <si>
    <t>Demonstrate that fire suppression systems used in the building are free from Halons or any other ozone depleting substances.</t>
  </si>
  <si>
    <t>1. Eco-friendly Refrigerants</t>
  </si>
  <si>
    <t>2. Fire Suppression Systems</t>
  </si>
  <si>
    <t>List of cooking equipments</t>
  </si>
  <si>
    <t>Type of cooking equipment</t>
  </si>
  <si>
    <t>Electric</t>
  </si>
  <si>
    <t>Electric equipments</t>
  </si>
  <si>
    <t>Gas</t>
  </si>
  <si>
    <t>Water monitoring ≥3 applications</t>
  </si>
  <si>
    <t xml:space="preserve">Smart meters integrated ≥ 4 along with dashboard to monitor </t>
  </si>
  <si>
    <t>Electrification (%) ≥50%</t>
  </si>
  <si>
    <t>Commercial cooking equipment such as cooktops, ovens, griddles, steam cookers, fryers, woks shall be considered.</t>
  </si>
  <si>
    <t>If Multi-Utility equipment is used, consider only the utility which is primarily used for cooking purposes for calculations.</t>
  </si>
  <si>
    <t>Manufacturer cut-sheets / data sheets of the proposed electrical kitchen equipment.</t>
  </si>
  <si>
    <t>Purchase invoices of the installed electrical kitchen equipment</t>
  </si>
  <si>
    <t>Photographs of the installed electrical kitchen equipment.</t>
  </si>
  <si>
    <t>Option 2: Demand Control Ventilation</t>
  </si>
  <si>
    <t>Drawings of the installed Demand Control Ventilation system.</t>
  </si>
  <si>
    <t>Photographs of installed ventilation hoods, sensors, and controls</t>
  </si>
  <si>
    <t>Purchase invoices of the installed Demand Control Ventilation</t>
  </si>
  <si>
    <t>1 credit for demand control kitchen ventilation system</t>
  </si>
  <si>
    <t>Inventory of cold room</t>
  </si>
  <si>
    <t>Storage temperature</t>
  </si>
  <si>
    <t>U value of exposed walls</t>
  </si>
  <si>
    <t>U value of walls</t>
  </si>
  <si>
    <t>U value of roofs</t>
  </si>
  <si>
    <t>U value of floor</t>
  </si>
  <si>
    <t>Complaint/Not compliant</t>
  </si>
  <si>
    <t>List out the best practices followed for efficient energy use</t>
  </si>
  <si>
    <t>All U values must be within the limits and best practice for efficient energy must be adopted</t>
  </si>
  <si>
    <t>Layout/SLD indicating installed solar water heating systems.</t>
  </si>
  <si>
    <t xml:space="preserve">Manufacturer cut sheets / data sheets of the installed solar water heating system. </t>
  </si>
  <si>
    <t xml:space="preserve">Purchase invoice of the installed solar water heating system. </t>
  </si>
  <si>
    <t>Photographs of the installed solar water heating system.</t>
  </si>
  <si>
    <t>Option 2: Energy Efficient Hot Water Systems</t>
  </si>
  <si>
    <t xml:space="preserve">Layout/SLD indicating installed energy efficient hot water systems. </t>
  </si>
  <si>
    <t xml:space="preserve">Manufacturer cut-sheets / data sheets of the installed energy efficient hot water systems indicating the efficiency values. </t>
  </si>
  <si>
    <t xml:space="preserve">Purchase invoice of the installed energy efficient hot water systems </t>
  </si>
  <si>
    <t>Photographs of the installed energy efficient hot water systems.</t>
  </si>
  <si>
    <t>List of all walk-in cold rooms and freezers proposed in the facility, indicating make, model, storage temperature range, refrigeration system type, and key control features</t>
  </si>
  <si>
    <t>U-value calculation demonstrating compliance with IS 661:2000 – Table 1 / Annex B for exposed walls, intermediate walls/ceilings, roofs, and floors.</t>
  </si>
  <si>
    <t>Insulation manufacturer data sheets showing thermal conductivity (k-value), thickness, and construction details.</t>
  </si>
  <si>
    <t>Photographs of the walk-in cold rooms and freezers installed in the facility</t>
  </si>
  <si>
    <t>List of Boilers</t>
  </si>
  <si>
    <t>List of Geysers</t>
  </si>
  <si>
    <t>Solar contribution (%) ≥ 20%</t>
  </si>
  <si>
    <r>
      <t xml:space="preserve">Provide high efficiency heat pumps, Boilers efficiency </t>
    </r>
    <r>
      <rPr>
        <sz val="11"/>
        <rFont val="Calibri"/>
        <family val="2"/>
      </rPr>
      <t>≥</t>
    </r>
    <r>
      <rPr>
        <sz val="11"/>
        <rFont val="Carlito"/>
      </rPr>
      <t xml:space="preserve"> 95%, Geysers must be BEE 5 star</t>
    </r>
  </si>
  <si>
    <t>List of laundry washers</t>
  </si>
  <si>
    <t>Energy consumption per cycle (kWh)</t>
  </si>
  <si>
    <r>
      <t>Capacity of clothes washer (m</t>
    </r>
    <r>
      <rPr>
        <b/>
        <vertAlign val="superscript"/>
        <sz val="11"/>
        <rFont val="Carlito"/>
      </rPr>
      <t>3</t>
    </r>
    <r>
      <rPr>
        <b/>
        <sz val="11"/>
        <rFont val="Carlito"/>
      </rPr>
      <t>)</t>
    </r>
  </si>
  <si>
    <t>Washer efficiency (kWh/cycle/ m³)</t>
  </si>
  <si>
    <t>Washer efficiency ≥16.05 kWh/cycle/ m³</t>
  </si>
  <si>
    <t>CEF of the dryer must be as per the above table</t>
  </si>
  <si>
    <t>Laundry Energy Performance ≤1.45</t>
  </si>
  <si>
    <t>Laundry washing temperature for wash cycle</t>
  </si>
  <si>
    <r>
      <rPr>
        <sz val="12"/>
        <rFont val="Calibri"/>
        <family val="2"/>
      </rPr>
      <t>⁰</t>
    </r>
    <r>
      <rPr>
        <sz val="12"/>
        <rFont val="Carlito"/>
      </rPr>
      <t>C</t>
    </r>
  </si>
  <si>
    <t>Temperature ≤ 40°C</t>
  </si>
  <si>
    <t>List of dish washers</t>
  </si>
  <si>
    <t>Under Counter/ Hood Type</t>
  </si>
  <si>
    <t>Energy Consumption (kWh/rack)</t>
  </si>
  <si>
    <t>Rack Area for Pot and Pan Washer (sq. ft.)</t>
  </si>
  <si>
    <t>Under Counter / Hood Type ≤ 0.35 kWh/rack, Conveyor type ≤ 0.36 kWh/rack, Pot &amp; Pan Utensil Washer ≤ 0.55 + 0.05 × rack area (sq.ft)</t>
  </si>
  <si>
    <t>Specify if others</t>
  </si>
  <si>
    <t>Recover and reuse thermal energy from at least two of the following systems for use in hotel operations</t>
  </si>
  <si>
    <t>Option 1: Energy Assessment</t>
  </si>
  <si>
    <t>Demonstrate that the project has carried out a detailed Energy Assessment once in 2 years following guidelines by Bureau of Energy Efficiency</t>
  </si>
  <si>
    <t>Option 2: Energy Efficiency Measures</t>
  </si>
  <si>
    <t>Any other energy consuming equipment and systems (Please specify)</t>
  </si>
  <si>
    <t>≥ 3 Applications</t>
  </si>
  <si>
    <t xml:space="preserve">Contracts with recyclers for responsible handling of waste generated in the facility </t>
  </si>
  <si>
    <t>Type</t>
  </si>
  <si>
    <t>Eco-friendly</t>
  </si>
  <si>
    <t>Total waste</t>
  </si>
  <si>
    <t>Limit to use of five individually packaged single-serving food and beverage items (e.g., milk/cream, coffee, tea, sugar, butter, honey, jam, yoghurt, cheese, condiments, etc.)</t>
  </si>
  <si>
    <t>Dry waste (kg)</t>
  </si>
  <si>
    <t>Food waste (kg)</t>
  </si>
  <si>
    <t>List of GreenPro Certified Products</t>
  </si>
  <si>
    <t>Make and Model of the Product</t>
  </si>
  <si>
    <t>Name of the Product</t>
  </si>
  <si>
    <t>GreenPro Ecolaballed</t>
  </si>
  <si>
    <t>Landscape waste (kg)</t>
  </si>
  <si>
    <r>
      <t>Embodied carbon in kg CO</t>
    </r>
    <r>
      <rPr>
        <vertAlign val="subscript"/>
        <sz val="11"/>
        <rFont val="Carlito"/>
      </rPr>
      <t>2</t>
    </r>
    <r>
      <rPr>
        <sz val="11"/>
        <rFont val="Carlito"/>
      </rPr>
      <t>e per square meter</t>
    </r>
  </si>
  <si>
    <r>
      <t>Operational carbon in kg CO</t>
    </r>
    <r>
      <rPr>
        <vertAlign val="subscript"/>
        <sz val="11"/>
        <rFont val="Carlito"/>
      </rPr>
      <t>2</t>
    </r>
    <r>
      <rPr>
        <sz val="11"/>
        <rFont val="Carlito"/>
      </rPr>
      <t>e per year considering a minimum building lifespan of 50 years</t>
    </r>
  </si>
  <si>
    <t>Max. Applicable</t>
  </si>
  <si>
    <t>Exposed roof area</t>
  </si>
  <si>
    <t>sq. m</t>
  </si>
  <si>
    <t>Maximum admissible on-site Renewable Energy</t>
  </si>
  <si>
    <t>Percentage of Local Employement</t>
  </si>
  <si>
    <t>Compliance Option</t>
  </si>
  <si>
    <t>By Cost</t>
  </si>
  <si>
    <t>Percentage of Local Food Procurement</t>
  </si>
  <si>
    <t>(%)</t>
  </si>
  <si>
    <t>dss</t>
  </si>
  <si>
    <r>
      <rPr>
        <b/>
        <i/>
        <u/>
        <sz val="11"/>
        <rFont val="Carlito"/>
      </rPr>
      <t>Note:</t>
    </r>
    <r>
      <rPr>
        <i/>
        <sz val="11"/>
        <rFont val="Carlito"/>
      </rPr>
      <t xml:space="preserve"> Low emitting vehicles includes CNG or electric vehicles</t>
    </r>
  </si>
  <si>
    <t>Guests catered through low emitting transport ≥ 5%</t>
  </si>
  <si>
    <t>Low emitting vehicles used for Hotel logistics and service vehicles (For example - housekeeping, laundry, goods movement etc)</t>
  </si>
  <si>
    <t>List of low emitting vehicles</t>
  </si>
  <si>
    <t>Type of vehicle</t>
  </si>
  <si>
    <t>No. of low emitting vehicles</t>
  </si>
  <si>
    <t>Capacity (seats)</t>
  </si>
  <si>
    <t>Total capacity</t>
  </si>
  <si>
    <t>Car</t>
  </si>
  <si>
    <t>Total number of staffs</t>
  </si>
  <si>
    <t>Low emitting vehicles for staff shuttle service</t>
  </si>
  <si>
    <t>Capacity of low emitting vehicles</t>
  </si>
  <si>
    <t>Staff catered through low emitting vehicles</t>
  </si>
  <si>
    <t>Staffs catered through low emitting transport ≥ 20%</t>
  </si>
  <si>
    <t>Total number of parkings (Including 2 &amp; 4 wheeler)</t>
  </si>
  <si>
    <t>No. of EV charging stations provided</t>
  </si>
  <si>
    <t>% EV charging infrastructure</t>
  </si>
  <si>
    <t>EV charging infrastructure ≥ 5% of total parking capacity</t>
  </si>
  <si>
    <t>Decarbonisation Plan Adopted</t>
  </si>
  <si>
    <t>Climate Goals</t>
  </si>
  <si>
    <t>Targeted Carbon Reduction Interventions</t>
  </si>
  <si>
    <t xml:space="preserve">Perform whole building Life Cycle Analysis (LCA) to estimate carbon emissions as per ISO standard 14040, and report the following for the overall built-up area of the project </t>
  </si>
  <si>
    <t>Decarbonization at Project Level</t>
  </si>
  <si>
    <t>SNo.</t>
  </si>
  <si>
    <t>Occupancy Category/ Space Type</t>
  </si>
  <si>
    <t>Zone population</t>
  </si>
  <si>
    <t>Outdoor air flow rate required per unit
area as per the above table
cfm/sqft</t>
  </si>
  <si>
    <t>ratio of openable area to the carpet area
%</t>
  </si>
  <si>
    <t>Design Criteria for Openable Windows and / or Doors to the Exteriors</t>
  </si>
  <si>
    <t>Net occupiable zone area
(sq. ft)</t>
  </si>
  <si>
    <t>Ventilation Provided
(cfm)</t>
  </si>
  <si>
    <t>Selected Fresh Air
(cfm)</t>
  </si>
  <si>
    <t>Total outdoor air flow in functional zone as per IGBC Annexure-II
(cfm)</t>
  </si>
  <si>
    <t>Carpet Area
(sq. ft)</t>
  </si>
  <si>
    <t>Openable Window Area
(sq. ft)</t>
  </si>
  <si>
    <t>Outdoor air flow rate required per
person as per the above table
(cfm/person)</t>
  </si>
  <si>
    <t>if ≥50% guest areas achieve ≥100 lux,  ≥2,000 lux excluded (1 credit)</t>
  </si>
  <si>
    <t>List of guest areas (floorwise)</t>
  </si>
  <si>
    <t>Carpet Area (sq. ft)</t>
  </si>
  <si>
    <t>Lux Levels</t>
  </si>
  <si>
    <t>% of room meeting daylight range of 100-2000 lux</t>
  </si>
  <si>
    <t>Compliant area (Carpet area × % of room area)</t>
  </si>
  <si>
    <t>Total Complaint Area</t>
  </si>
  <si>
    <t>List of guest areas</t>
  </si>
  <si>
    <t>Carpet area (sq. ft.)</t>
  </si>
  <si>
    <t>Reguraly occupied spaces</t>
  </si>
  <si>
    <t>Compliant area (sq. ft.)</t>
  </si>
  <si>
    <t>Flora Fauna</t>
  </si>
  <si>
    <t>For Guests Areas</t>
  </si>
  <si>
    <t>For Regularly Occupied Spaces</t>
  </si>
  <si>
    <t>List of reguarly occupied areas</t>
  </si>
  <si>
    <t>Total no. of Guest rooms</t>
  </si>
  <si>
    <t>List of densely occupied area</t>
  </si>
  <si>
    <t>IEQ monitoring system installed</t>
  </si>
  <si>
    <t>Parameters monitored</t>
  </si>
  <si>
    <t>Measured value</t>
  </si>
  <si>
    <t>CO2</t>
  </si>
  <si>
    <t>NO2</t>
  </si>
  <si>
    <t>SO2</t>
  </si>
  <si>
    <r>
      <t>Ambient CO</t>
    </r>
    <r>
      <rPr>
        <b/>
        <vertAlign val="subscript"/>
        <sz val="12"/>
        <rFont val="Carlito"/>
      </rPr>
      <t>2</t>
    </r>
  </si>
  <si>
    <t xml:space="preserve">Submit the logs for the IAQ parameters monitoring </t>
  </si>
  <si>
    <t>Total no. of staffs</t>
  </si>
  <si>
    <t>No. of staffs attended the green education programs</t>
  </si>
  <si>
    <t>Training program ≥ 32 hours</t>
  </si>
  <si>
    <t>Name of food item (fruits, Vegetables &amp; Grains)</t>
  </si>
  <si>
    <t>Name of food item (Animal Products)</t>
  </si>
  <si>
    <t>Responsibly Sourced (Yes/No)</t>
  </si>
  <si>
    <t>Organic (Yes/ No)</t>
  </si>
  <si>
    <t>Organic F&amp;B Products</t>
  </si>
  <si>
    <t>List of Housekeeping Chemicals (Brand)</t>
  </si>
  <si>
    <t>Type of Housekeeping Chemicals</t>
  </si>
  <si>
    <t>1 point for any 3 chemicals</t>
  </si>
  <si>
    <t>Table for Chemical Use Calculations</t>
  </si>
  <si>
    <t>Chemical use</t>
  </si>
  <si>
    <t>Treatment Methods adopted</t>
  </si>
  <si>
    <t>Specify if any other treatment method adopted</t>
  </si>
  <si>
    <t>Ultraviolet (UV) disinfection</t>
  </si>
  <si>
    <t>List of fertilizers/pesticides</t>
  </si>
  <si>
    <t>Type of fertilizers/pesticides</t>
  </si>
  <si>
    <t>Compliant/Not compliant</t>
  </si>
  <si>
    <t>Name of the IGBC Accredited Professional</t>
  </si>
  <si>
    <t>Category</t>
  </si>
  <si>
    <t>Architect/Designer</t>
  </si>
  <si>
    <t>Total parking area</t>
  </si>
  <si>
    <t>Parking area for differently abled or senior citizens</t>
  </si>
  <si>
    <t>% Parking ares</t>
  </si>
  <si>
    <t>Dedicated Parking for Differently Abled</t>
  </si>
  <si>
    <t>The maximum admissible onsite RE installation shall be equal to the capacity limit imposed by the State Government/ local Authority or at least 100 Wp/sq.m. for exposed roof area, whichever is less</t>
  </si>
  <si>
    <t>Click on the respective abbreviations to go to the corresponding modules</t>
  </si>
  <si>
    <r>
      <t xml:space="preserve">Fertile topsoil (150 to 200 mm in depth) to be stockpiled, preserved, stabilized, and its fertility must be maintained during preconstruction activities. </t>
    </r>
    <r>
      <rPr>
        <i/>
        <sz val="11"/>
        <color rgb="FFFF0000"/>
        <rFont val="Carlito"/>
      </rPr>
      <t>(Not applicable for Brownfield Sites and redevelopment projects)</t>
    </r>
  </si>
  <si>
    <t>Brownfield sites shall be used only after proper remediation. Remediation techniques shall include but not limited to pump-and-treat, bioreactors, land farming and in-situ remediation.</t>
  </si>
  <si>
    <r>
      <t xml:space="preserve">Notes: </t>
    </r>
    <r>
      <rPr>
        <i/>
        <sz val="11"/>
        <color rgb="FF002060"/>
        <rFont val="Carlito"/>
      </rPr>
      <t>The remediation measures shall be as per local building bye laws.</t>
    </r>
  </si>
  <si>
    <t>Develop measures to address soil erosion such as desilting chambers, sediment traps, soil stabilisation techniques, landscaping after occupancy</t>
  </si>
  <si>
    <t>Demonstrate that the in-house laundry system has washer efficiency ≥16.05 kWh/cycle/ m³</t>
  </si>
  <si>
    <t>Detailed Energy Assessment submitted</t>
  </si>
  <si>
    <t>Demonstrate the energy efficiency measures implemented/ proposed to be implemented.</t>
  </si>
  <si>
    <t>Efficiency measures proposed</t>
  </si>
  <si>
    <t xml:space="preserve">Option 2: Waste Intensity Index  </t>
  </si>
  <si>
    <t>100% use of organic fertilizers and pesticides</t>
  </si>
  <si>
    <t>No. of GreenPro Ecolabelled Products used</t>
  </si>
  <si>
    <t>4-Star</t>
  </si>
  <si>
    <t>IGBC Green Hotels (Existing Hotels) – Project Information</t>
  </si>
  <si>
    <t>Supporting documents</t>
  </si>
  <si>
    <t>Landscape drawing highlighting the tree saplings and existing trees</t>
  </si>
  <si>
    <t>List of the existing trees/ plant species and new saplings which can mature into fully grown trees for shading, within the next 5 years</t>
  </si>
  <si>
    <t>Photographs showing the tree saplings and existing trees</t>
  </si>
  <si>
    <t>Site drawing highlighting the total landscaped area within the project boundary</t>
  </si>
  <si>
    <t>List of landscape species (existing trees/ plant species, turf, drought tolerant, native and adaptive species) used in the project</t>
  </si>
  <si>
    <t>Photographs showing the landscaped areas</t>
  </si>
  <si>
    <t>SRI Value -</t>
  </si>
  <si>
    <t>Select Option 1 or Option 2. The corresponding requirements will be displayed below.</t>
  </si>
  <si>
    <t xml:space="preserve">Area with UHI Mitigation </t>
  </si>
  <si>
    <t>Compliance Options</t>
  </si>
  <si>
    <t>Compliance Option:</t>
  </si>
  <si>
    <t>Kitchen Electrification % - 50%</t>
  </si>
  <si>
    <t>HVAC systems - chiller, VRV systems, primary &amp; secondary water pumps, cooling tower, AHU fans, fresh air fans and flow settings, fresh air treatment units, heat recovery wheel, VFDs</t>
  </si>
  <si>
    <t>Pumps and Motors</t>
  </si>
  <si>
    <t>Lighting systems</t>
  </si>
  <si>
    <t>Renewable energy system</t>
  </si>
  <si>
    <t>Efficiency of the Boilers (Input Value)</t>
  </si>
  <si>
    <t>BEE Star Rating (Input Value)</t>
  </si>
  <si>
    <t>% openable area to the Total carpet area &gt; 8% (For reguarly occupied spaces &lt; 100 sq.m)</t>
  </si>
  <si>
    <t>% openable area to the Total carpet area &gt; 12% (For reguarly occupied spaces &gt; 100 sq.m)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</si>
</sst>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
    <numFmt numFmtId="166" formatCode="0.0"/>
  </numFmts>
  <fonts count="73">
    <font>
      <sz val="11"/>
      <name val="Carlito"/>
    </font>
    <font>
      <b/>
      <sz val="16"/>
      <color rgb="FF1F4E79"/>
      <name val="Carlito"/>
    </font>
    <font>
      <b/>
      <sz val="15"/>
      <color rgb="FFFFFFFF"/>
      <name val="Carlito"/>
    </font>
    <font>
      <b/>
      <sz val="11"/>
      <name val="Carlito"/>
    </font>
    <font>
      <b/>
      <sz val="16"/>
      <color rgb="FFFFFFFF"/>
      <name val="Carlito"/>
    </font>
    <font>
      <b/>
      <sz val="12"/>
      <name val="Carlito"/>
    </font>
    <font>
      <b/>
      <i/>
      <sz val="11"/>
      <name val="Carlito"/>
    </font>
    <font>
      <b/>
      <sz val="14"/>
      <color rgb="FF000000"/>
      <name val="Carlito"/>
    </font>
    <font>
      <b/>
      <sz val="11"/>
      <color rgb="FF1F4E79"/>
      <name val="Carlito"/>
    </font>
    <font>
      <b/>
      <sz val="11"/>
      <color rgb="FFFFFFFF"/>
      <name val="Carlito"/>
    </font>
    <font>
      <b/>
      <sz val="11"/>
      <color rgb="FF006100"/>
      <name val="Carlito"/>
    </font>
    <font>
      <b/>
      <sz val="14"/>
      <name val="Carlito"/>
    </font>
    <font>
      <b/>
      <sz val="12"/>
      <color rgb="FF006100"/>
      <name val="Carlito"/>
    </font>
    <font>
      <b/>
      <sz val="12"/>
      <color theme="1"/>
      <name val="Carlito"/>
    </font>
    <font>
      <b/>
      <sz val="11"/>
      <color rgb="FF000000"/>
      <name val="Carlito"/>
    </font>
    <font>
      <b/>
      <sz val="14"/>
      <color rgb="FF006100"/>
      <name val="Carlito"/>
    </font>
    <font>
      <b/>
      <sz val="11"/>
      <color rgb="FF1F1F1F"/>
      <name val="Carlito"/>
    </font>
    <font>
      <b/>
      <sz val="14"/>
      <color rgb="FF1F4E79"/>
      <name val="Carlito"/>
    </font>
    <font>
      <i/>
      <sz val="11"/>
      <color rgb="FF7F6000"/>
      <name val="Carlito"/>
    </font>
    <font>
      <b/>
      <sz val="14"/>
      <color rgb="FF1F1F1F"/>
      <name val="Carlito"/>
    </font>
    <font>
      <b/>
      <sz val="12"/>
      <color rgb="FFFF0000"/>
      <name val="Carlito"/>
    </font>
    <font>
      <b/>
      <sz val="13"/>
      <color rgb="FF000000"/>
      <name val="Carlito"/>
    </font>
    <font>
      <b/>
      <sz val="11"/>
      <color theme="1"/>
      <name val="Carlito"/>
    </font>
    <font>
      <b/>
      <sz val="14"/>
      <color theme="1"/>
      <name val="Carlito"/>
    </font>
    <font>
      <vertAlign val="superscript"/>
      <sz val="11"/>
      <name val="Carlito"/>
    </font>
    <font>
      <sz val="11"/>
      <color theme="1"/>
      <name val="Carlito"/>
    </font>
    <font>
      <sz val="8"/>
      <name val="Carlito"/>
    </font>
    <font>
      <b/>
      <sz val="11"/>
      <color rgb="FFFF0000"/>
      <name val="Carlito"/>
    </font>
    <font>
      <sz val="12"/>
      <name val="Carlito"/>
    </font>
    <font>
      <sz val="11"/>
      <name val="Aptos Narrow"/>
      <family val="2"/>
    </font>
    <font>
      <sz val="11"/>
      <name val="Carlito"/>
      <family val="2"/>
    </font>
    <font>
      <u/>
      <sz val="11"/>
      <color theme="10"/>
      <name val="Carlito"/>
    </font>
    <font>
      <b/>
      <u/>
      <sz val="11"/>
      <name val="Carlito"/>
    </font>
    <font>
      <b/>
      <sz val="11"/>
      <color theme="0"/>
      <name val="Carlito"/>
    </font>
    <font>
      <b/>
      <sz val="14"/>
      <name val="Clarito"/>
    </font>
    <font>
      <b/>
      <sz val="20"/>
      <color theme="1"/>
      <name val="Calibri"/>
      <family val="2"/>
    </font>
    <font>
      <b/>
      <sz val="12"/>
      <color theme="0"/>
      <name val="Carlito"/>
    </font>
    <font>
      <sz val="11"/>
      <name val="Calibri"/>
      <family val="2"/>
    </font>
    <font>
      <b/>
      <u/>
      <sz val="11"/>
      <color theme="1"/>
      <name val="Carlito"/>
    </font>
    <font>
      <sz val="11"/>
      <name val="Clarito"/>
    </font>
    <font>
      <b/>
      <sz val="10"/>
      <name val="Carlito"/>
    </font>
    <font>
      <sz val="14"/>
      <color rgb="FF000000"/>
      <name val="Carlito"/>
    </font>
    <font>
      <b/>
      <sz val="11"/>
      <name val="Calibri"/>
      <family val="2"/>
    </font>
    <font>
      <i/>
      <sz val="11"/>
      <name val="Carlito"/>
    </font>
    <font>
      <i/>
      <sz val="11"/>
      <color theme="1"/>
      <name val="Carlito"/>
    </font>
    <font>
      <b/>
      <i/>
      <u/>
      <sz val="11"/>
      <name val="Carlito"/>
    </font>
    <font>
      <b/>
      <i/>
      <sz val="11"/>
      <color theme="1"/>
      <name val="Carlito"/>
    </font>
    <font>
      <b/>
      <vertAlign val="superscript"/>
      <sz val="11"/>
      <name val="Carlito"/>
    </font>
    <font>
      <i/>
      <sz val="12"/>
      <name val="Carlito"/>
    </font>
    <font>
      <b/>
      <i/>
      <sz val="12"/>
      <name val="Carlito"/>
    </font>
    <font>
      <b/>
      <i/>
      <u/>
      <sz val="12"/>
      <name val="Carlito"/>
    </font>
    <font>
      <b/>
      <sz val="12"/>
      <color rgb="FF000000"/>
      <name val="Carlito"/>
    </font>
    <font>
      <i/>
      <sz val="12"/>
      <color rgb="FFFF0000"/>
      <name val="Carlito"/>
    </font>
    <font>
      <sz val="11"/>
      <color rgb="FFFF0000"/>
      <name val="Carlito"/>
    </font>
    <font>
      <i/>
      <sz val="11"/>
      <color rgb="FF1F4E79"/>
      <name val="Carlito"/>
    </font>
    <font>
      <b/>
      <sz val="16"/>
      <name val="Carlito"/>
    </font>
    <font>
      <sz val="12"/>
      <name val="Calibri"/>
      <family val="2"/>
    </font>
    <font>
      <sz val="12"/>
      <name val="Carlito"/>
      <family val="2"/>
    </font>
    <font>
      <vertAlign val="subscript"/>
      <sz val="11"/>
      <name val="Carlito"/>
    </font>
    <font>
      <i/>
      <u/>
      <sz val="12"/>
      <color theme="10"/>
      <name val="Carlito"/>
    </font>
    <font>
      <b/>
      <vertAlign val="subscript"/>
      <sz val="12"/>
      <name val="Carlito"/>
    </font>
    <font>
      <sz val="10"/>
      <name val="Arial Unicode MS"/>
    </font>
    <font>
      <i/>
      <u/>
      <sz val="11"/>
      <color theme="1"/>
      <name val="Carlito"/>
    </font>
    <font>
      <i/>
      <sz val="11"/>
      <color rgb="FFFF0000"/>
      <name val="Carlito"/>
    </font>
    <font>
      <b/>
      <i/>
      <sz val="11"/>
      <color rgb="FF002060"/>
      <name val="Carlito"/>
    </font>
    <font>
      <i/>
      <sz val="11"/>
      <color rgb="FF002060"/>
      <name val="Carlito"/>
    </font>
    <font>
      <i/>
      <u/>
      <sz val="11"/>
      <color rgb="FF002060"/>
      <name val="Carlito"/>
    </font>
    <font>
      <b/>
      <sz val="12"/>
      <color rgb="FF1F4E79"/>
      <name val="Carlito"/>
    </font>
    <font>
      <i/>
      <u/>
      <sz val="11"/>
      <color theme="10"/>
      <name val="Carlito"/>
    </font>
    <font>
      <b/>
      <i/>
      <sz val="12"/>
      <color theme="1"/>
      <name val="Carlito"/>
    </font>
    <font>
      <b/>
      <i/>
      <sz val="11"/>
      <color rgb="FF7F6000"/>
      <name val="Carlito"/>
    </font>
    <font>
      <sz val="12"/>
      <color rgb="FF000000"/>
      <name val="Carlito"/>
    </font>
    <font>
      <sz val="11"/>
      <color rgb="FF000000"/>
      <name val="Carlito"/>
    </font>
  </fonts>
  <fills count="57">
    <fill>
      <patternFill patternType="none"/>
    </fill>
    <fill>
      <patternFill patternType="gray125"/>
    </fill>
    <fill>
      <patternFill patternType="solid">
        <fgColor rgb="FF1F4E79"/>
      </patternFill>
    </fill>
    <fill>
      <patternFill patternType="solid">
        <fgColor rgb="FFD9EAF7"/>
      </patternFill>
    </fill>
    <fill>
      <patternFill patternType="solid">
        <fgColor rgb="FFFFFDF5"/>
      </patternFill>
    </fill>
    <fill>
      <patternFill patternType="solid">
        <fgColor rgb="FFE2F0D9"/>
      </patternFill>
    </fill>
    <fill>
      <patternFill patternType="solid">
        <fgColor rgb="FFE7E6E6"/>
      </patternFill>
    </fill>
    <fill>
      <patternFill patternType="solid">
        <fgColor rgb="FFFFF2CC"/>
      </patternFill>
    </fill>
    <fill>
      <patternFill patternType="solid">
        <fgColor rgb="FFA9D18E"/>
      </patternFill>
    </fill>
    <fill>
      <patternFill patternType="solid">
        <fgColor rgb="FFE2F0D9"/>
      </patternFill>
    </fill>
    <fill>
      <patternFill patternType="solid">
        <fgColor rgb="FFD9EAF7"/>
      </patternFill>
    </fill>
    <fill>
      <patternFill patternType="solid">
        <fgColor rgb="FF1F4E79"/>
      </patternFill>
    </fill>
    <fill>
      <patternFill patternType="solid">
        <fgColor rgb="FFFFF7D6"/>
      </patternFill>
    </fill>
    <fill>
      <patternFill patternType="solid">
        <fgColor rgb="FFE2F0D9"/>
      </patternFill>
    </fill>
    <fill>
      <patternFill patternType="solid">
        <fgColor rgb="FFC6E0B4"/>
      </patternFill>
    </fill>
    <fill>
      <patternFill patternType="solid">
        <fgColor theme="4" tint="0.79985961485641044"/>
        <bgColor indexed="65"/>
      </patternFill>
    </fill>
    <fill>
      <patternFill patternType="solid">
        <fgColor theme="8" tint="0.79985961485641044"/>
        <bgColor indexed="65"/>
      </patternFill>
    </fill>
    <fill>
      <patternFill patternType="solid">
        <fgColor rgb="FFC6E0B4"/>
      </patternFill>
    </fill>
    <fill>
      <patternFill patternType="solid">
        <fgColor rgb="FFE2F0D9"/>
      </patternFill>
    </fill>
    <fill>
      <patternFill patternType="solid">
        <fgColor rgb="FFFFF7D6"/>
      </patternFill>
    </fill>
    <fill>
      <patternFill patternType="solid">
        <fgColor rgb="FFD9EAF7"/>
      </patternFill>
    </fill>
    <fill>
      <patternFill patternType="solid">
        <fgColor rgb="FFC6E0B4"/>
      </patternFill>
    </fill>
    <fill>
      <patternFill patternType="solid">
        <fgColor rgb="FFE2F0D9"/>
      </patternFill>
    </fill>
    <fill>
      <patternFill patternType="solid">
        <fgColor theme="9" tint="0.79992065187536243"/>
        <bgColor indexed="65"/>
      </patternFill>
    </fill>
    <fill>
      <patternFill patternType="solid">
        <fgColor theme="8" tint="0.79992065187536243"/>
        <bgColor indexed="65"/>
      </patternFill>
    </fill>
    <fill>
      <patternFill patternType="solid">
        <fgColor theme="3" tint="0.89992980742820516"/>
        <bgColor indexed="65"/>
      </patternFill>
    </fill>
    <fill>
      <patternFill patternType="solid">
        <fgColor theme="6" tint="0.79992065187536243"/>
        <bgColor indexed="65"/>
      </patternFill>
    </fill>
    <fill>
      <patternFill patternType="solid">
        <fgColor rgb="FFD9E2F3"/>
      </patternFill>
    </fill>
    <fill>
      <patternFill patternType="solid">
        <fgColor rgb="FFFFF2CC"/>
      </patternFill>
    </fill>
    <fill>
      <patternFill patternType="solid">
        <fgColor rgb="FFE2F0D9"/>
      </patternFill>
    </fill>
    <fill>
      <patternFill patternType="solid">
        <fgColor rgb="FFFFF2CC"/>
      </patternFill>
    </fill>
    <fill>
      <patternFill patternType="solid">
        <fgColor theme="0"/>
      </patternFill>
    </fill>
    <fill>
      <patternFill patternType="solid">
        <fgColor theme="9" tint="0.59996337778862885"/>
        <bgColor indexed="65"/>
      </patternFill>
    </fill>
    <fill>
      <patternFill patternType="solid">
        <fgColor rgb="FFE2F0D9"/>
      </patternFill>
    </fill>
    <fill>
      <patternFill patternType="solid">
        <fgColor rgb="FFFFF2CC"/>
      </patternFill>
    </fill>
    <fill>
      <patternFill patternType="solid">
        <fgColor rgb="FFFCE9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3" tint="0.89999084444715716"/>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0"/>
        <bgColor indexed="64"/>
      </patternFill>
    </fill>
    <fill>
      <patternFill patternType="solid">
        <fgColor rgb="FFC00000"/>
        <bgColor indexed="64"/>
      </patternFill>
    </fill>
    <fill>
      <patternFill patternType="solid">
        <fgColor theme="5" tint="0.39997558519241921"/>
        <bgColor indexed="64"/>
      </patternFill>
    </fill>
    <fill>
      <patternFill patternType="solid">
        <fgColor theme="1" tint="0.499984740745262"/>
        <bgColor indexed="64"/>
      </patternFill>
    </fill>
    <fill>
      <patternFill patternType="solid">
        <fgColor theme="6" tint="0.59999389629810485"/>
        <bgColor indexed="64"/>
      </patternFill>
    </fill>
    <fill>
      <patternFill patternType="solid">
        <fgColor rgb="FFFEF7F4"/>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FFFFCC"/>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FFF2C9"/>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theme="1"/>
      </left>
      <right style="thin">
        <color theme="1"/>
      </right>
      <top style="thin">
        <color theme="1"/>
      </top>
      <bottom style="thin">
        <color theme="1"/>
      </bottom>
      <diagonal/>
    </border>
    <border>
      <left/>
      <right/>
      <top style="thin">
        <color theme="1"/>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right/>
      <top/>
      <bottom style="thin">
        <color theme="1"/>
      </bottom>
      <diagonal/>
    </border>
    <border>
      <left style="thin">
        <color theme="1"/>
      </left>
      <right style="thin">
        <color theme="1"/>
      </right>
      <top style="thin">
        <color theme="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top style="thin">
        <color theme="2" tint="-9.9978637043366805E-2"/>
      </top>
      <bottom style="thin">
        <color theme="2" tint="-9.9978637043366805E-2"/>
      </bottom>
      <diagonal/>
    </border>
    <border>
      <left/>
      <right/>
      <top style="thin">
        <color theme="2" tint="-9.9978637043366805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style="thin">
        <color theme="2" tint="-9.9978637043366805E-2"/>
      </top>
      <bottom/>
      <diagonal/>
    </border>
    <border>
      <left/>
      <right/>
      <top/>
      <bottom style="thin">
        <color theme="2" tint="-9.9978637043366805E-2"/>
      </bottom>
      <diagonal/>
    </border>
    <border>
      <left style="thin">
        <color theme="2" tint="-9.9978637043366805E-2"/>
      </left>
      <right/>
      <top style="thin">
        <color theme="2" tint="-9.9978637043366805E-2"/>
      </top>
      <bottom/>
      <diagonal/>
    </border>
    <border>
      <left/>
      <right style="thin">
        <color theme="2" tint="-9.9978637043366805E-2"/>
      </right>
      <top style="thin">
        <color theme="2" tint="-9.9978637043366805E-2"/>
      </top>
      <bottom/>
      <diagonal/>
    </border>
    <border>
      <left style="thin">
        <color theme="2" tint="-9.9978637043366805E-2"/>
      </left>
      <right/>
      <top/>
      <bottom/>
      <diagonal/>
    </border>
    <border>
      <left/>
      <right style="thin">
        <color theme="2" tint="-9.9978637043366805E-2"/>
      </right>
      <top/>
      <bottom/>
      <diagonal/>
    </border>
    <border>
      <left style="thin">
        <color theme="2" tint="-9.9978637043366805E-2"/>
      </left>
      <right/>
      <top/>
      <bottom style="thin">
        <color theme="2" tint="-9.9978637043366805E-2"/>
      </bottom>
      <diagonal/>
    </border>
    <border>
      <left/>
      <right style="thin">
        <color theme="2" tint="-9.9978637043366805E-2"/>
      </right>
      <top/>
      <bottom style="thin">
        <color theme="2" tint="-9.9978637043366805E-2"/>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right/>
      <top style="thin">
        <color theme="2" tint="-0.249977111117893"/>
      </top>
      <bottom/>
      <diagonal/>
    </border>
    <border>
      <left style="thin">
        <color theme="2" tint="-0.249977111117893"/>
      </left>
      <right style="thin">
        <color theme="2" tint="-0.249977111117893"/>
      </right>
      <top style="thin">
        <color theme="2" tint="-0.249977111117893"/>
      </top>
      <bottom/>
      <diagonal/>
    </border>
    <border>
      <left/>
      <right/>
      <top/>
      <bottom style="thin">
        <color theme="2" tint="-0.249977111117893"/>
      </bottom>
      <diagonal/>
    </border>
  </borders>
  <cellStyleXfs count="2">
    <xf numFmtId="0" fontId="0" fillId="0" borderId="0"/>
    <xf numFmtId="0" fontId="31" fillId="0" borderId="0" applyNumberFormat="0" applyFill="0" applyBorder="0" applyAlignment="0" applyProtection="0"/>
  </cellStyleXfs>
  <cellXfs count="1026">
    <xf numFmtId="0" fontId="0" fillId="0" borderId="0" xfId="0"/>
    <xf numFmtId="0" fontId="3" fillId="5" borderId="0" xfId="0" applyFont="1" applyFill="1"/>
    <xf numFmtId="0" fontId="0" fillId="0" borderId="0" xfId="0" applyAlignment="1">
      <alignment vertical="top"/>
    </xf>
    <xf numFmtId="0" fontId="0" fillId="0" borderId="0" xfId="0" applyAlignment="1">
      <alignment vertical="top" wrapText="1"/>
    </xf>
    <xf numFmtId="0" fontId="3" fillId="0" borderId="0" xfId="0" applyFont="1" applyAlignment="1">
      <alignment vertical="top" wrapText="1"/>
    </xf>
    <xf numFmtId="0" fontId="1" fillId="8" borderId="0" xfId="0" applyFont="1" applyFill="1" applyAlignment="1">
      <alignment vertical="top" wrapText="1"/>
    </xf>
    <xf numFmtId="0" fontId="7" fillId="0" borderId="0" xfId="0" applyFont="1" applyAlignment="1">
      <alignment horizontal="center" vertical="center"/>
    </xf>
    <xf numFmtId="0" fontId="7" fillId="0" borderId="0" xfId="0" applyFont="1" applyAlignment="1">
      <alignment horizontal="center" vertical="center" wrapText="1"/>
    </xf>
    <xf numFmtId="0" fontId="10" fillId="17" borderId="0" xfId="0" applyFont="1" applyFill="1" applyAlignment="1">
      <alignment horizontal="center" vertical="top" wrapText="1"/>
    </xf>
    <xf numFmtId="0" fontId="10" fillId="17" borderId="0" xfId="0" applyFont="1" applyFill="1" applyAlignment="1">
      <alignment horizontal="center" vertical="center" wrapText="1"/>
    </xf>
    <xf numFmtId="0" fontId="11" fillId="0" borderId="0" xfId="0" applyFont="1" applyAlignment="1">
      <alignment horizontal="center" vertical="center" wrapText="1"/>
    </xf>
    <xf numFmtId="0" fontId="8" fillId="18" borderId="0" xfId="0" applyFont="1" applyFill="1" applyAlignment="1">
      <alignment vertical="top" wrapText="1"/>
    </xf>
    <xf numFmtId="0" fontId="5" fillId="0" borderId="0" xfId="0" applyFont="1" applyAlignment="1">
      <alignment horizontal="center" vertical="center" wrapText="1"/>
    </xf>
    <xf numFmtId="0" fontId="6" fillId="0" borderId="0" xfId="0" applyFont="1" applyAlignment="1">
      <alignment vertical="top" wrapText="1"/>
    </xf>
    <xf numFmtId="0" fontId="0" fillId="0" borderId="0" xfId="0" applyAlignment="1">
      <alignment horizontal="center" vertical="center" wrapText="1"/>
    </xf>
    <xf numFmtId="0" fontId="3" fillId="0" borderId="0" xfId="0" applyFont="1" applyAlignment="1">
      <alignment horizontal="center" vertical="center" wrapText="1"/>
    </xf>
    <xf numFmtId="0" fontId="20" fillId="0" borderId="0" xfId="0" applyFont="1" applyAlignment="1">
      <alignment vertical="top" wrapText="1"/>
    </xf>
    <xf numFmtId="9" fontId="0" fillId="0" borderId="0" xfId="0" applyNumberFormat="1" applyAlignment="1">
      <alignment horizontal="center" vertical="center" wrapText="1"/>
    </xf>
    <xf numFmtId="0" fontId="0" fillId="0" borderId="0" xfId="0" applyAlignment="1">
      <alignment vertical="center"/>
    </xf>
    <xf numFmtId="0" fontId="0" fillId="0" borderId="0" xfId="0" applyAlignment="1">
      <alignment horizontal="left" vertical="top" wrapText="1"/>
    </xf>
    <xf numFmtId="0" fontId="3" fillId="0" borderId="0" xfId="0" applyFont="1" applyAlignment="1">
      <alignment horizontal="left" vertical="top" wrapText="1"/>
    </xf>
    <xf numFmtId="0" fontId="3" fillId="6" borderId="0" xfId="0" applyFont="1" applyFill="1" applyAlignment="1">
      <alignment horizontal="center" vertical="center"/>
    </xf>
    <xf numFmtId="0" fontId="3" fillId="7" borderId="0" xfId="0" applyFont="1" applyFill="1" applyAlignment="1">
      <alignment horizontal="center" vertical="center"/>
    </xf>
    <xf numFmtId="0" fontId="0" fillId="39" borderId="0" xfId="0" applyFill="1"/>
    <xf numFmtId="0" fontId="0" fillId="39" borderId="0" xfId="0" applyFill="1" applyAlignment="1">
      <alignment horizontal="center" vertical="center"/>
    </xf>
    <xf numFmtId="0" fontId="0" fillId="0" borderId="1" xfId="0" applyBorder="1" applyAlignment="1">
      <alignment horizontal="center" vertical="center"/>
    </xf>
    <xf numFmtId="0" fontId="0" fillId="44" borderId="1" xfId="0" applyFill="1" applyBorder="1" applyAlignment="1">
      <alignment horizontal="center" vertical="center"/>
    </xf>
    <xf numFmtId="0" fontId="3" fillId="0" borderId="0" xfId="0" applyFont="1" applyAlignment="1">
      <alignment horizontal="center" vertical="top" wrapText="1"/>
    </xf>
    <xf numFmtId="0" fontId="3" fillId="40" borderId="0" xfId="0" applyFont="1" applyFill="1" applyAlignment="1">
      <alignment horizontal="left" vertical="top" wrapText="1"/>
    </xf>
    <xf numFmtId="0" fontId="11" fillId="40" borderId="0" xfId="0" applyFont="1" applyFill="1" applyAlignment="1">
      <alignment horizontal="center" vertical="center" wrapText="1"/>
    </xf>
    <xf numFmtId="0" fontId="3" fillId="0" borderId="0" xfId="0" applyFont="1"/>
    <xf numFmtId="0" fontId="0" fillId="40" borderId="0" xfId="0" applyFill="1" applyAlignment="1">
      <alignment vertical="top" wrapText="1"/>
    </xf>
    <xf numFmtId="0" fontId="0" fillId="38" borderId="0" xfId="0" applyFill="1" applyAlignment="1">
      <alignment vertical="top" wrapText="1"/>
    </xf>
    <xf numFmtId="0" fontId="3" fillId="41" borderId="0" xfId="0" applyFont="1" applyFill="1" applyAlignment="1">
      <alignment horizontal="center" vertical="center" wrapText="1"/>
    </xf>
    <xf numFmtId="0" fontId="33" fillId="46" borderId="0" xfId="0" applyFont="1" applyFill="1" applyAlignment="1">
      <alignment horizontal="center"/>
    </xf>
    <xf numFmtId="0" fontId="3" fillId="40" borderId="0" xfId="0" applyFont="1" applyFill="1" applyAlignment="1">
      <alignment horizontal="center" vertical="center"/>
    </xf>
    <xf numFmtId="0" fontId="34" fillId="40" borderId="0" xfId="0" applyFont="1" applyFill="1" applyAlignment="1">
      <alignment horizontal="center" vertical="center"/>
    </xf>
    <xf numFmtId="0" fontId="7" fillId="40" borderId="0" xfId="0" applyFont="1" applyFill="1" applyAlignment="1">
      <alignment horizontal="center" vertical="center" wrapText="1"/>
    </xf>
    <xf numFmtId="0" fontId="13" fillId="49" borderId="0" xfId="0" applyFont="1" applyFill="1" applyAlignment="1">
      <alignment horizontal="left" vertical="top" wrapText="1"/>
    </xf>
    <xf numFmtId="0" fontId="18" fillId="49" borderId="0" xfId="0" applyFont="1" applyFill="1" applyAlignment="1">
      <alignment horizontal="center" vertical="top" wrapText="1"/>
    </xf>
    <xf numFmtId="0" fontId="5" fillId="49" borderId="0" xfId="0" applyFont="1" applyFill="1" applyAlignment="1">
      <alignment horizontal="center" vertical="center" wrapText="1"/>
    </xf>
    <xf numFmtId="0" fontId="3" fillId="39" borderId="0" xfId="0" applyFont="1" applyFill="1" applyAlignment="1">
      <alignment vertical="top" wrapText="1"/>
    </xf>
    <xf numFmtId="165" fontId="0" fillId="0" borderId="0" xfId="0" applyNumberFormat="1" applyAlignment="1">
      <alignment horizontal="center" vertical="center" wrapText="1"/>
    </xf>
    <xf numFmtId="0" fontId="3" fillId="39" borderId="0" xfId="0" applyFont="1" applyFill="1" applyAlignment="1">
      <alignment horizontal="center" vertical="top" wrapText="1"/>
    </xf>
    <xf numFmtId="0" fontId="3" fillId="39" borderId="0" xfId="0" applyFont="1" applyFill="1" applyAlignment="1">
      <alignment horizontal="center" vertical="center" wrapText="1"/>
    </xf>
    <xf numFmtId="0" fontId="3" fillId="38" borderId="0" xfId="0" applyFont="1" applyFill="1" applyAlignment="1">
      <alignment horizontal="center" vertical="center" wrapText="1"/>
    </xf>
    <xf numFmtId="0" fontId="0" fillId="4" borderId="0" xfId="0" applyFill="1"/>
    <xf numFmtId="1" fontId="0" fillId="4" borderId="0" xfId="0" applyNumberFormat="1" applyFill="1" applyAlignment="1">
      <alignment horizontal="center" vertical="center"/>
    </xf>
    <xf numFmtId="1" fontId="0" fillId="4" borderId="0" xfId="0" applyNumberFormat="1" applyFill="1" applyAlignment="1">
      <alignment horizontal="center"/>
    </xf>
    <xf numFmtId="0" fontId="22" fillId="39" borderId="0" xfId="0" applyFont="1" applyFill="1" applyAlignment="1">
      <alignment vertical="top" wrapText="1"/>
    </xf>
    <xf numFmtId="0" fontId="0" fillId="0" borderId="0" xfId="0" applyAlignment="1">
      <alignment horizontal="center"/>
    </xf>
    <xf numFmtId="0" fontId="0" fillId="39" borderId="1" xfId="0" applyFill="1" applyBorder="1" applyAlignment="1">
      <alignment horizontal="center" vertical="center"/>
    </xf>
    <xf numFmtId="0" fontId="18" fillId="0" borderId="0" xfId="0" applyFont="1" applyAlignment="1">
      <alignment vertical="top" wrapText="1"/>
    </xf>
    <xf numFmtId="0" fontId="5" fillId="51" borderId="0" xfId="0" applyFont="1" applyFill="1"/>
    <xf numFmtId="0" fontId="0" fillId="51" borderId="0" xfId="0" applyFill="1" applyAlignment="1">
      <alignment vertical="top" wrapText="1"/>
    </xf>
    <xf numFmtId="0" fontId="11" fillId="51" borderId="0" xfId="0" applyFont="1" applyFill="1" applyAlignment="1">
      <alignment horizontal="center" vertical="center" wrapText="1"/>
    </xf>
    <xf numFmtId="0" fontId="5" fillId="51" borderId="0" xfId="0" applyFont="1" applyFill="1" applyAlignment="1">
      <alignment horizontal="center" vertical="center" wrapText="1"/>
    </xf>
    <xf numFmtId="0" fontId="5" fillId="38" borderId="0" xfId="0" applyFont="1" applyFill="1" applyAlignment="1">
      <alignment horizontal="center" vertical="center"/>
    </xf>
    <xf numFmtId="165" fontId="5" fillId="51" borderId="0" xfId="0" applyNumberFormat="1" applyFont="1" applyFill="1" applyAlignment="1">
      <alignment horizontal="center" vertical="center" wrapText="1"/>
    </xf>
    <xf numFmtId="0" fontId="45" fillId="0" borderId="0" xfId="0" applyFont="1" applyAlignment="1">
      <alignment vertical="top" wrapText="1"/>
    </xf>
    <xf numFmtId="0" fontId="45" fillId="0" borderId="0" xfId="0" applyFont="1" applyAlignment="1">
      <alignment horizontal="left" vertical="top" wrapText="1"/>
    </xf>
    <xf numFmtId="0" fontId="43" fillId="0" borderId="0" xfId="0" applyFont="1" applyAlignment="1">
      <alignment horizontal="left" vertical="top" wrapText="1"/>
    </xf>
    <xf numFmtId="0" fontId="22" fillId="39" borderId="0" xfId="0" applyFont="1" applyFill="1" applyAlignment="1">
      <alignment horizontal="center" vertical="center" wrapText="1"/>
    </xf>
    <xf numFmtId="0" fontId="53" fillId="51" borderId="0" xfId="0" applyFont="1" applyFill="1" applyAlignment="1">
      <alignment vertical="top" wrapText="1"/>
    </xf>
    <xf numFmtId="0" fontId="43" fillId="0" borderId="0" xfId="0" applyFont="1" applyAlignment="1">
      <alignment vertical="top"/>
    </xf>
    <xf numFmtId="0" fontId="43" fillId="0" borderId="0" xfId="0" applyFont="1"/>
    <xf numFmtId="0" fontId="3" fillId="42" borderId="1" xfId="0" applyFont="1" applyFill="1" applyBorder="1" applyAlignment="1">
      <alignment horizontal="center" vertical="center" wrapText="1"/>
    </xf>
    <xf numFmtId="0" fontId="3" fillId="36" borderId="0" xfId="0" applyFont="1" applyFill="1" applyAlignment="1">
      <alignment vertical="top" wrapText="1"/>
    </xf>
    <xf numFmtId="0" fontId="0" fillId="42" borderId="1" xfId="0" applyFill="1" applyBorder="1" applyAlignment="1">
      <alignment horizontal="center" vertical="center"/>
    </xf>
    <xf numFmtId="0" fontId="25" fillId="0" borderId="19" xfId="0" applyFont="1" applyBorder="1" applyAlignment="1">
      <alignment vertical="center" wrapText="1"/>
    </xf>
    <xf numFmtId="0" fontId="25" fillId="54" borderId="0" xfId="0" applyFont="1" applyFill="1" applyAlignment="1">
      <alignment vertical="center" wrapText="1"/>
    </xf>
    <xf numFmtId="0" fontId="22" fillId="42" borderId="0" xfId="0" applyFont="1" applyFill="1" applyAlignment="1">
      <alignment horizontal="center" vertical="center" wrapText="1"/>
    </xf>
    <xf numFmtId="0" fontId="22" fillId="41" borderId="20" xfId="0" applyFont="1" applyFill="1" applyBorder="1" applyAlignment="1">
      <alignment horizontal="center" vertical="center" wrapText="1"/>
    </xf>
    <xf numFmtId="0" fontId="5" fillId="38" borderId="1" xfId="0" applyFont="1" applyFill="1" applyBorder="1" applyAlignment="1">
      <alignment horizontal="center" vertical="center" wrapText="1"/>
    </xf>
    <xf numFmtId="0" fontId="13" fillId="38" borderId="0" xfId="0" applyFont="1" applyFill="1" applyAlignment="1">
      <alignment horizontal="center" vertical="center" wrapText="1"/>
    </xf>
    <xf numFmtId="0" fontId="0" fillId="42" borderId="1" xfId="0" applyFill="1" applyBorder="1" applyAlignment="1">
      <alignment horizontal="center" vertical="center" wrapText="1"/>
    </xf>
    <xf numFmtId="9" fontId="0" fillId="44" borderId="1" xfId="0" applyNumberFormat="1" applyFill="1" applyBorder="1" applyAlignment="1">
      <alignment horizontal="center" vertical="center"/>
    </xf>
    <xf numFmtId="0" fontId="0" fillId="51" borderId="0" xfId="0" applyFill="1" applyAlignment="1">
      <alignment horizontal="left" vertical="center" wrapText="1"/>
    </xf>
    <xf numFmtId="18" fontId="0" fillId="41" borderId="1" xfId="0" applyNumberFormat="1" applyFill="1" applyBorder="1" applyAlignment="1">
      <alignment horizontal="center" vertical="center"/>
    </xf>
    <xf numFmtId="0" fontId="0" fillId="41" borderId="1" xfId="0" applyFill="1" applyBorder="1" applyAlignment="1">
      <alignment horizontal="center" vertical="center"/>
    </xf>
    <xf numFmtId="0" fontId="3" fillId="39" borderId="1" xfId="0" applyFont="1" applyFill="1" applyBorder="1" applyAlignment="1">
      <alignment horizontal="center" vertical="center"/>
    </xf>
    <xf numFmtId="0" fontId="6" fillId="51" borderId="0" xfId="0" applyFont="1" applyFill="1" applyAlignment="1">
      <alignment vertical="top" wrapText="1"/>
    </xf>
    <xf numFmtId="0" fontId="3" fillId="51" borderId="0" xfId="0" applyFont="1" applyFill="1" applyAlignment="1">
      <alignment vertical="top" wrapText="1"/>
    </xf>
    <xf numFmtId="0" fontId="5" fillId="38" borderId="4" xfId="0" applyFont="1" applyFill="1" applyBorder="1" applyAlignment="1">
      <alignment horizontal="center" vertical="center"/>
    </xf>
    <xf numFmtId="0" fontId="5" fillId="38" borderId="4" xfId="0" applyFont="1" applyFill="1" applyBorder="1" applyAlignment="1">
      <alignment horizontal="center" vertical="center" wrapText="1"/>
    </xf>
    <xf numFmtId="0" fontId="3" fillId="42" borderId="1" xfId="0" applyFont="1" applyFill="1" applyBorder="1" applyAlignment="1">
      <alignment horizontal="left" vertical="center" wrapText="1"/>
    </xf>
    <xf numFmtId="0" fontId="62" fillId="39" borderId="0" xfId="1" applyFont="1" applyFill="1"/>
    <xf numFmtId="0" fontId="62" fillId="39" borderId="0" xfId="1" applyFont="1" applyFill="1" applyBorder="1"/>
    <xf numFmtId="0" fontId="62" fillId="39" borderId="9" xfId="1" applyFont="1" applyFill="1" applyBorder="1"/>
    <xf numFmtId="165" fontId="11" fillId="41" borderId="0" xfId="0" applyNumberFormat="1" applyFont="1" applyFill="1" applyAlignment="1">
      <alignment horizontal="center" vertical="center" wrapText="1"/>
    </xf>
    <xf numFmtId="0" fontId="7" fillId="51" borderId="0" xfId="0" applyFont="1" applyFill="1" applyAlignment="1">
      <alignment horizontal="center" vertical="center" wrapText="1"/>
    </xf>
    <xf numFmtId="0" fontId="7" fillId="0" borderId="0" xfId="0" applyFont="1" applyAlignment="1" applyProtection="1">
      <alignment horizontal="center" vertical="center"/>
      <protection locked="0"/>
    </xf>
    <xf numFmtId="0" fontId="3" fillId="0" borderId="0" xfId="0" applyFont="1" applyAlignment="1" applyProtection="1">
      <alignment vertical="top" wrapText="1"/>
      <protection locked="0"/>
    </xf>
    <xf numFmtId="0" fontId="0" fillId="0" borderId="0" xfId="0" applyProtection="1">
      <protection locked="0"/>
    </xf>
    <xf numFmtId="0" fontId="0" fillId="0" borderId="0" xfId="0" applyAlignment="1" applyProtection="1">
      <alignment vertical="top"/>
      <protection locked="0"/>
    </xf>
    <xf numFmtId="0" fontId="1" fillId="8" borderId="0" xfId="0" applyFont="1" applyFill="1" applyAlignment="1" applyProtection="1">
      <alignment vertical="top" wrapText="1"/>
      <protection locked="0"/>
    </xf>
    <xf numFmtId="0" fontId="20" fillId="0" borderId="0" xfId="0" applyFont="1" applyAlignment="1" applyProtection="1">
      <alignment vertical="top" wrapText="1"/>
      <protection locked="0"/>
    </xf>
    <xf numFmtId="0" fontId="0" fillId="0" borderId="0" xfId="0" applyAlignment="1" applyProtection="1">
      <alignment vertical="top" wrapText="1"/>
      <protection locked="0"/>
    </xf>
    <xf numFmtId="0" fontId="5" fillId="49" borderId="0" xfId="0" applyFont="1" applyFill="1" applyAlignment="1" applyProtection="1">
      <alignment horizontal="center" vertical="center" wrapText="1"/>
      <protection locked="0"/>
    </xf>
    <xf numFmtId="0" fontId="5" fillId="53" borderId="0" xfId="0" applyFont="1" applyFill="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3" fillId="24" borderId="0" xfId="0" applyFont="1" applyFill="1" applyAlignment="1" applyProtection="1">
      <alignment vertical="top" wrapText="1"/>
      <protection locked="0"/>
    </xf>
    <xf numFmtId="0" fontId="43" fillId="0" borderId="0" xfId="0" applyFont="1" applyAlignment="1" applyProtection="1">
      <alignment vertical="top"/>
      <protection locked="0"/>
    </xf>
    <xf numFmtId="0" fontId="0" fillId="0" borderId="0" xfId="0" applyAlignment="1" applyProtection="1">
      <alignment horizontal="left" vertical="top" wrapText="1"/>
      <protection locked="0"/>
    </xf>
    <xf numFmtId="0" fontId="6" fillId="0" borderId="0" xfId="0" applyFont="1" applyAlignment="1" applyProtection="1">
      <alignment vertical="top" wrapText="1"/>
      <protection locked="0"/>
    </xf>
    <xf numFmtId="0" fontId="3" fillId="0" borderId="0" xfId="0" applyFont="1" applyAlignment="1" applyProtection="1">
      <alignment horizontal="left" vertical="center" wrapText="1"/>
      <protection locked="0"/>
    </xf>
    <xf numFmtId="0" fontId="0" fillId="41" borderId="0" xfId="0" applyFill="1" applyAlignment="1" applyProtection="1">
      <alignment horizontal="left" vertical="center" wrapText="1"/>
      <protection locked="0"/>
    </xf>
    <xf numFmtId="0" fontId="7" fillId="41" borderId="0" xfId="0" applyFont="1" applyFill="1" applyAlignment="1" applyProtection="1">
      <alignment horizontal="center" vertical="center" wrapText="1"/>
      <protection locked="0"/>
    </xf>
    <xf numFmtId="0" fontId="3" fillId="39" borderId="0" xfId="0" applyFont="1" applyFill="1" applyAlignment="1" applyProtection="1">
      <alignment vertical="top" wrapText="1"/>
      <protection locked="0"/>
    </xf>
    <xf numFmtId="0" fontId="3" fillId="39" borderId="0" xfId="0" applyFont="1" applyFill="1" applyAlignment="1" applyProtection="1">
      <alignment horizontal="center" vertical="top" wrapText="1"/>
      <protection locked="0"/>
    </xf>
    <xf numFmtId="0" fontId="0" fillId="51" borderId="0" xfId="0" applyFill="1" applyAlignment="1" applyProtection="1">
      <alignment horizontal="left" vertical="top" wrapText="1"/>
      <protection locked="0"/>
    </xf>
    <xf numFmtId="0" fontId="11" fillId="51" borderId="0" xfId="0" applyFont="1" applyFill="1" applyAlignment="1" applyProtection="1">
      <alignment horizontal="center" vertical="center" wrapText="1"/>
      <protection locked="0"/>
    </xf>
    <xf numFmtId="0" fontId="0" fillId="0" borderId="0" xfId="0" applyAlignment="1" applyProtection="1">
      <alignment horizontal="left" vertical="center" wrapText="1"/>
      <protection locked="0"/>
    </xf>
    <xf numFmtId="0" fontId="43" fillId="0" borderId="0" xfId="0" applyFont="1" applyProtection="1">
      <protection locked="0"/>
    </xf>
    <xf numFmtId="0" fontId="13" fillId="49" borderId="0" xfId="0" applyFont="1" applyFill="1" applyAlignment="1" applyProtection="1">
      <alignment horizontal="left" vertical="top" wrapText="1"/>
      <protection locked="0"/>
    </xf>
    <xf numFmtId="0" fontId="18" fillId="49" borderId="0" xfId="0" applyFont="1" applyFill="1" applyAlignment="1" applyProtection="1">
      <alignment horizontal="center" vertical="top" wrapText="1"/>
      <protection locked="0"/>
    </xf>
    <xf numFmtId="0" fontId="3" fillId="33" borderId="0" xfId="0" applyFont="1" applyFill="1" applyAlignment="1" applyProtection="1">
      <alignment vertical="top" wrapText="1"/>
      <protection locked="0"/>
    </xf>
    <xf numFmtId="0" fontId="21" fillId="33" borderId="0" xfId="0" applyFont="1" applyFill="1" applyAlignment="1" applyProtection="1">
      <alignment horizontal="center" vertical="center" wrapText="1"/>
      <protection locked="0"/>
    </xf>
    <xf numFmtId="1" fontId="0" fillId="4" borderId="0" xfId="0" applyNumberFormat="1" applyFill="1" applyAlignment="1" applyProtection="1">
      <alignment horizontal="center" vertical="center" wrapText="1"/>
      <protection locked="0"/>
    </xf>
    <xf numFmtId="0" fontId="0" fillId="4" borderId="0" xfId="0" applyFill="1" applyAlignment="1" applyProtection="1">
      <alignment horizontal="center" vertical="center" wrapText="1"/>
      <protection locked="0"/>
    </xf>
    <xf numFmtId="165" fontId="0" fillId="0" borderId="0" xfId="0" applyNumberFormat="1" applyAlignment="1" applyProtection="1">
      <alignment horizontal="center" vertical="center" wrapText="1"/>
      <protection locked="0"/>
    </xf>
    <xf numFmtId="0" fontId="3" fillId="5" borderId="0" xfId="0" applyFont="1" applyFill="1" applyAlignment="1" applyProtection="1">
      <alignment vertical="top" wrapText="1"/>
      <protection locked="0"/>
    </xf>
    <xf numFmtId="0" fontId="3" fillId="5" borderId="0" xfId="0" applyFont="1" applyFill="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3" fillId="39" borderId="0" xfId="0" applyFont="1" applyFill="1" applyAlignment="1" applyProtection="1">
      <alignment horizontal="center" wrapText="1"/>
      <protection locked="0"/>
    </xf>
    <xf numFmtId="1" fontId="0" fillId="4" borderId="0" xfId="0" applyNumberFormat="1" applyFill="1" applyAlignment="1" applyProtection="1">
      <alignment horizontal="center" wrapText="1"/>
      <protection locked="0"/>
    </xf>
    <xf numFmtId="0" fontId="0" fillId="4" borderId="0" xfId="0" applyFill="1" applyAlignment="1" applyProtection="1">
      <alignment horizontal="center" wrapText="1"/>
      <protection locked="0"/>
    </xf>
    <xf numFmtId="0" fontId="0" fillId="0" borderId="0" xfId="0" applyAlignment="1" applyProtection="1">
      <alignment horizontal="center" vertical="top" wrapText="1"/>
      <protection locked="0"/>
    </xf>
    <xf numFmtId="0" fontId="3" fillId="33" borderId="0" xfId="0" applyFont="1" applyFill="1" applyAlignment="1" applyProtection="1">
      <alignment horizontal="left" vertical="top" wrapText="1"/>
      <protection locked="0"/>
    </xf>
    <xf numFmtId="0" fontId="3" fillId="39" borderId="0" xfId="0" applyFont="1" applyFill="1" applyAlignment="1" applyProtection="1">
      <alignment horizontal="center" vertical="center" wrapText="1"/>
      <protection locked="0"/>
    </xf>
    <xf numFmtId="0" fontId="1" fillId="22" borderId="0" xfId="0" applyFont="1" applyFill="1" applyAlignment="1" applyProtection="1">
      <alignment vertical="center" wrapText="1"/>
      <protection locked="0"/>
    </xf>
    <xf numFmtId="0" fontId="3" fillId="0" borderId="0" xfId="0" applyFont="1" applyAlignment="1" applyProtection="1">
      <alignment horizontal="left" vertical="top" wrapText="1"/>
      <protection locked="0"/>
    </xf>
    <xf numFmtId="2" fontId="0" fillId="0" borderId="0" xfId="0" applyNumberFormat="1" applyAlignment="1">
      <alignment horizontal="center" wrapText="1"/>
    </xf>
    <xf numFmtId="2" fontId="0" fillId="0" borderId="0" xfId="0" applyNumberFormat="1" applyAlignment="1">
      <alignment horizontal="center" vertical="center" wrapText="1"/>
    </xf>
    <xf numFmtId="0" fontId="10" fillId="21"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1" fillId="8" borderId="0" xfId="0" applyFont="1" applyFill="1" applyAlignment="1" applyProtection="1">
      <alignment horizontal="left" vertical="center" wrapText="1"/>
      <protection locked="0"/>
    </xf>
    <xf numFmtId="0" fontId="1" fillId="8" borderId="0" xfId="0" applyFont="1" applyFill="1" applyAlignment="1" applyProtection="1">
      <alignment horizontal="center" vertical="center" wrapText="1"/>
      <protection locked="0"/>
    </xf>
    <xf numFmtId="0" fontId="3" fillId="49" borderId="0" xfId="0" applyFont="1" applyFill="1" applyAlignment="1" applyProtection="1">
      <alignment horizontal="left" vertical="top" wrapText="1"/>
      <protection locked="0"/>
    </xf>
    <xf numFmtId="0" fontId="3" fillId="20" borderId="22" xfId="0" applyFont="1" applyFill="1" applyBorder="1" applyAlignment="1" applyProtection="1">
      <alignment horizontal="center" wrapText="1"/>
      <protection locked="0"/>
    </xf>
    <xf numFmtId="0" fontId="14" fillId="20" borderId="22" xfId="0" applyFont="1" applyFill="1" applyBorder="1" applyAlignment="1" applyProtection="1">
      <alignment horizontal="center" wrapText="1"/>
      <protection locked="0"/>
    </xf>
    <xf numFmtId="0" fontId="21" fillId="56" borderId="0" xfId="0" applyFont="1" applyFill="1" applyAlignment="1" applyProtection="1">
      <alignment horizontal="center" vertical="center" wrapText="1"/>
      <protection locked="0"/>
    </xf>
    <xf numFmtId="0" fontId="0" fillId="51" borderId="22" xfId="0" applyFill="1" applyBorder="1" applyAlignment="1" applyProtection="1">
      <alignment horizontal="center" vertical="center" wrapText="1"/>
      <protection locked="0"/>
    </xf>
    <xf numFmtId="0" fontId="0" fillId="56" borderId="22" xfId="0" applyFill="1" applyBorder="1" applyAlignment="1" applyProtection="1">
      <alignment horizontal="center" vertical="center" wrapText="1"/>
      <protection locked="0"/>
    </xf>
    <xf numFmtId="0" fontId="3" fillId="41" borderId="0" xfId="0" applyFont="1" applyFill="1" applyAlignment="1" applyProtection="1">
      <alignment horizontal="center" vertical="center" wrapText="1"/>
      <protection locked="0"/>
    </xf>
    <xf numFmtId="0" fontId="0" fillId="38" borderId="0" xfId="0" applyFill="1" applyAlignment="1" applyProtection="1">
      <alignment horizontal="center" vertical="center" wrapText="1"/>
      <protection locked="0"/>
    </xf>
    <xf numFmtId="0" fontId="0" fillId="51" borderId="22" xfId="0" applyFill="1" applyBorder="1" applyAlignment="1" applyProtection="1">
      <alignment vertical="top" wrapText="1"/>
      <protection locked="0"/>
    </xf>
    <xf numFmtId="0" fontId="21" fillId="51" borderId="22" xfId="0" applyFont="1" applyFill="1" applyBorder="1" applyAlignment="1" applyProtection="1">
      <alignment horizontal="center" vertical="center" wrapText="1"/>
      <protection locked="0"/>
    </xf>
    <xf numFmtId="0" fontId="3" fillId="51" borderId="22" xfId="0" applyFont="1" applyFill="1" applyBorder="1" applyAlignment="1" applyProtection="1">
      <alignment horizontal="center" vertical="center" wrapText="1"/>
      <protection locked="0"/>
    </xf>
    <xf numFmtId="0" fontId="6" fillId="5" borderId="0" xfId="0" applyFont="1" applyFill="1" applyAlignment="1" applyProtection="1">
      <alignment vertical="center" wrapText="1"/>
      <protection locked="0"/>
    </xf>
    <xf numFmtId="0" fontId="3" fillId="41" borderId="22" xfId="0" applyFont="1" applyFill="1" applyBorder="1" applyAlignment="1" applyProtection="1">
      <alignment horizontal="center" vertical="center" wrapText="1"/>
      <protection locked="0"/>
    </xf>
    <xf numFmtId="0" fontId="0" fillId="0" borderId="22" xfId="0" applyBorder="1" applyAlignment="1" applyProtection="1">
      <alignment horizontal="center" vertical="center" wrapText="1"/>
      <protection locked="0"/>
    </xf>
    <xf numFmtId="0" fontId="0" fillId="38" borderId="22" xfId="0" applyFill="1" applyBorder="1" applyAlignment="1" applyProtection="1">
      <alignment horizontal="center" vertical="center" wrapText="1"/>
      <protection locked="0"/>
    </xf>
    <xf numFmtId="0" fontId="45" fillId="0" borderId="0" xfId="0" applyFont="1" applyAlignment="1" applyProtection="1">
      <alignment horizontal="left" vertical="top" wrapText="1"/>
      <protection locked="0"/>
    </xf>
    <xf numFmtId="0" fontId="3" fillId="20" borderId="0" xfId="0" applyFont="1" applyFill="1" applyAlignment="1" applyProtection="1">
      <alignment horizontal="left" vertical="center" wrapText="1"/>
      <protection locked="0"/>
    </xf>
    <xf numFmtId="0" fontId="3" fillId="20" borderId="0" xfId="0" applyFont="1" applyFill="1" applyAlignment="1" applyProtection="1">
      <alignment horizontal="center" vertical="center" wrapText="1"/>
      <protection locked="0"/>
    </xf>
    <xf numFmtId="0" fontId="14" fillId="20" borderId="0" xfId="0" applyFont="1" applyFill="1" applyAlignment="1" applyProtection="1">
      <alignment horizontal="center" vertical="center" wrapText="1"/>
      <protection locked="0"/>
    </xf>
    <xf numFmtId="0" fontId="0" fillId="51" borderId="0" xfId="0" applyFill="1" applyAlignment="1" applyProtection="1">
      <alignment vertical="top" wrapText="1"/>
      <protection locked="0"/>
    </xf>
    <xf numFmtId="0" fontId="0" fillId="51" borderId="0" xfId="0" applyFill="1" applyProtection="1">
      <protection locked="0"/>
    </xf>
    <xf numFmtId="0" fontId="0" fillId="51" borderId="0" xfId="0" applyFill="1" applyAlignment="1" applyProtection="1">
      <alignment horizontal="center" vertical="top" wrapText="1"/>
      <protection locked="0"/>
    </xf>
    <xf numFmtId="0" fontId="0" fillId="56" borderId="0" xfId="0" applyFill="1" applyAlignment="1" applyProtection="1">
      <alignment horizontal="center" vertical="center" wrapText="1"/>
      <protection locked="0"/>
    </xf>
    <xf numFmtId="0" fontId="0" fillId="51" borderId="22" xfId="0" applyFill="1" applyBorder="1" applyProtection="1">
      <protection locked="0"/>
    </xf>
    <xf numFmtId="0" fontId="0" fillId="51" borderId="22" xfId="0" applyFill="1" applyBorder="1" applyAlignment="1" applyProtection="1">
      <alignment horizontal="center" vertical="top" wrapText="1"/>
      <protection locked="0"/>
    </xf>
    <xf numFmtId="0" fontId="3" fillId="51" borderId="0" xfId="0" applyFont="1" applyFill="1" applyAlignment="1" applyProtection="1">
      <alignment horizontal="center" vertical="center" wrapText="1"/>
      <protection locked="0"/>
    </xf>
    <xf numFmtId="0" fontId="3" fillId="39" borderId="22" xfId="0" applyFont="1" applyFill="1" applyBorder="1" applyAlignment="1" applyProtection="1">
      <alignment vertical="top" wrapText="1"/>
      <protection locked="0"/>
    </xf>
    <xf numFmtId="0" fontId="3" fillId="39" borderId="22" xfId="0" applyFont="1" applyFill="1" applyBorder="1" applyAlignment="1" applyProtection="1">
      <alignment horizontal="center" vertical="top" wrapText="1"/>
      <protection locked="0"/>
    </xf>
    <xf numFmtId="0" fontId="3" fillId="39" borderId="22" xfId="0" applyFont="1" applyFill="1" applyBorder="1" applyAlignment="1" applyProtection="1">
      <alignment horizontal="center" vertical="center" wrapText="1"/>
      <protection locked="0"/>
    </xf>
    <xf numFmtId="0" fontId="46" fillId="51" borderId="24" xfId="0" applyFont="1" applyFill="1" applyBorder="1" applyAlignment="1" applyProtection="1">
      <alignment vertical="top" wrapText="1"/>
      <protection locked="0"/>
    </xf>
    <xf numFmtId="0" fontId="0" fillId="51" borderId="24" xfId="0" applyFill="1" applyBorder="1" applyAlignment="1" applyProtection="1">
      <alignment vertical="top" wrapText="1"/>
      <protection locked="0"/>
    </xf>
    <xf numFmtId="0" fontId="0" fillId="51" borderId="24" xfId="0" applyFill="1" applyBorder="1" applyAlignment="1" applyProtection="1">
      <alignment horizontal="center" vertical="center" wrapText="1"/>
      <protection locked="0"/>
    </xf>
    <xf numFmtId="0" fontId="0" fillId="51" borderId="24" xfId="0" applyFill="1" applyBorder="1" applyAlignment="1" applyProtection="1">
      <alignment horizontal="center" vertical="top" wrapText="1"/>
      <protection locked="0"/>
    </xf>
    <xf numFmtId="0" fontId="3" fillId="41" borderId="22" xfId="0" applyFont="1" applyFill="1" applyBorder="1" applyAlignment="1" applyProtection="1">
      <alignment vertical="center" wrapText="1"/>
      <protection locked="0"/>
    </xf>
    <xf numFmtId="0" fontId="6" fillId="51" borderId="22" xfId="0" applyFont="1" applyFill="1" applyBorder="1" applyAlignment="1" applyProtection="1">
      <alignment vertical="center" wrapText="1"/>
      <protection locked="0"/>
    </xf>
    <xf numFmtId="0" fontId="0" fillId="51" borderId="22" xfId="0" applyFill="1" applyBorder="1" applyAlignment="1" applyProtection="1">
      <alignment vertical="center" wrapText="1"/>
      <protection locked="0"/>
    </xf>
    <xf numFmtId="0" fontId="21" fillId="0" borderId="22" xfId="0" applyFont="1" applyBorder="1" applyAlignment="1" applyProtection="1">
      <alignment horizontal="center" vertical="center" wrapText="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vertical="center" wrapText="1"/>
      <protection locked="0"/>
    </xf>
    <xf numFmtId="0" fontId="1" fillId="22" borderId="0" xfId="0" applyFont="1" applyFill="1" applyAlignment="1" applyProtection="1">
      <alignment horizontal="left" vertical="center" wrapText="1"/>
      <protection locked="0"/>
    </xf>
    <xf numFmtId="0" fontId="1" fillId="22" borderId="0" xfId="0" applyFont="1" applyFill="1" applyAlignment="1" applyProtection="1">
      <alignment horizontal="center" vertical="center" wrapText="1"/>
      <protection locked="0"/>
    </xf>
    <xf numFmtId="0" fontId="3" fillId="16" borderId="0" xfId="0" applyFont="1" applyFill="1" applyAlignment="1" applyProtection="1">
      <alignment horizontal="left" vertical="top" wrapText="1"/>
      <protection locked="0"/>
    </xf>
    <xf numFmtId="0" fontId="54" fillId="0" borderId="0" xfId="0" applyFont="1" applyAlignment="1" applyProtection="1">
      <alignment vertical="top" wrapText="1"/>
      <protection locked="0"/>
    </xf>
    <xf numFmtId="0" fontId="6" fillId="0" borderId="0" xfId="0" applyFont="1" applyAlignment="1" applyProtection="1">
      <alignment horizontal="left" vertical="top" wrapText="1"/>
      <protection locked="0"/>
    </xf>
    <xf numFmtId="165" fontId="0" fillId="51" borderId="22" xfId="0" applyNumberFormat="1" applyFill="1" applyBorder="1" applyAlignment="1">
      <alignment horizontal="center" vertical="center" wrapText="1"/>
    </xf>
    <xf numFmtId="0" fontId="0" fillId="0" borderId="22" xfId="0" applyBorder="1" applyAlignment="1">
      <alignment horizontal="center" vertical="center" wrapText="1"/>
    </xf>
    <xf numFmtId="165" fontId="0" fillId="0" borderId="22" xfId="0" applyNumberFormat="1" applyBorder="1" applyAlignment="1">
      <alignment horizontal="center" vertical="center" wrapText="1"/>
    </xf>
    <xf numFmtId="0" fontId="35" fillId="51" borderId="22" xfId="0" applyFont="1" applyFill="1" applyBorder="1" applyAlignment="1">
      <alignment horizontal="center" vertical="center" wrapText="1"/>
    </xf>
    <xf numFmtId="0" fontId="25" fillId="51" borderId="22" xfId="0" applyFont="1" applyFill="1" applyBorder="1" applyAlignment="1">
      <alignment horizontal="center" vertical="center" wrapText="1"/>
    </xf>
    <xf numFmtId="0" fontId="0" fillId="51" borderId="22" xfId="0" applyFill="1" applyBorder="1" applyAlignment="1">
      <alignment horizontal="center" vertical="center" wrapText="1"/>
    </xf>
    <xf numFmtId="0" fontId="3" fillId="51" borderId="22" xfId="0" applyFont="1" applyFill="1" applyBorder="1" applyAlignment="1">
      <alignment horizontal="center" vertical="center" wrapText="1"/>
    </xf>
    <xf numFmtId="165" fontId="0" fillId="51" borderId="22" xfId="0" applyNumberFormat="1" applyFill="1" applyBorder="1" applyAlignment="1">
      <alignment horizontal="center" vertical="center"/>
    </xf>
    <xf numFmtId="165" fontId="0" fillId="51" borderId="0" xfId="0" applyNumberFormat="1" applyFill="1" applyAlignment="1">
      <alignment horizontal="center" vertical="center" wrapText="1"/>
    </xf>
    <xf numFmtId="165" fontId="0" fillId="41" borderId="22" xfId="0" applyNumberFormat="1" applyFill="1" applyBorder="1" applyAlignment="1">
      <alignment horizontal="center" vertical="center"/>
    </xf>
    <xf numFmtId="0" fontId="3" fillId="36" borderId="22" xfId="0" applyFont="1" applyFill="1" applyBorder="1" applyAlignment="1" applyProtection="1">
      <alignment horizontal="right" vertical="center" wrapText="1"/>
      <protection locked="0"/>
    </xf>
    <xf numFmtId="0" fontId="3" fillId="36" borderId="22" xfId="0" applyFont="1" applyFill="1" applyBorder="1" applyAlignment="1" applyProtection="1">
      <alignment horizontal="center" vertical="center" wrapText="1"/>
      <protection locked="0"/>
    </xf>
    <xf numFmtId="0" fontId="40" fillId="36" borderId="22" xfId="0" applyFont="1" applyFill="1" applyBorder="1" applyAlignment="1">
      <alignment horizontal="center" vertical="center" wrapText="1"/>
    </xf>
    <xf numFmtId="0" fontId="22" fillId="36" borderId="22" xfId="0" applyFont="1" applyFill="1" applyBorder="1" applyAlignment="1" applyProtection="1">
      <alignment horizontal="center" vertical="center" wrapText="1"/>
      <protection locked="0"/>
    </xf>
    <xf numFmtId="0" fontId="22" fillId="36" borderId="22" xfId="0" applyFont="1" applyFill="1" applyBorder="1" applyAlignment="1">
      <alignment horizontal="center" vertical="center" wrapText="1"/>
    </xf>
    <xf numFmtId="0" fontId="3" fillId="36" borderId="22" xfId="0" applyFont="1" applyFill="1" applyBorder="1" applyAlignment="1">
      <alignment horizontal="center" vertical="center" wrapText="1"/>
    </xf>
    <xf numFmtId="0" fontId="3" fillId="20" borderId="22" xfId="0" applyFont="1" applyFill="1" applyBorder="1" applyAlignment="1" applyProtection="1">
      <alignment horizontal="center" vertical="center" wrapText="1"/>
      <protection locked="0"/>
    </xf>
    <xf numFmtId="0" fontId="14" fillId="20" borderId="22" xfId="0" applyFont="1" applyFill="1" applyBorder="1" applyAlignment="1" applyProtection="1">
      <alignment horizontal="center" vertical="center" wrapText="1"/>
      <protection locked="0"/>
    </xf>
    <xf numFmtId="0" fontId="5" fillId="39" borderId="0" xfId="0" applyFont="1" applyFill="1" applyAlignment="1" applyProtection="1">
      <alignment horizontal="center" vertical="center" wrapText="1"/>
      <protection locked="0"/>
    </xf>
    <xf numFmtId="0" fontId="5" fillId="39" borderId="22" xfId="0" applyFont="1" applyFill="1" applyBorder="1" applyAlignment="1" applyProtection="1">
      <alignment horizontal="center" vertical="center" wrapText="1"/>
      <protection locked="0"/>
    </xf>
    <xf numFmtId="0" fontId="1" fillId="8" borderId="0" xfId="0" applyFont="1" applyFill="1" applyAlignment="1" applyProtection="1">
      <alignment vertical="center" wrapText="1"/>
      <protection locked="0"/>
    </xf>
    <xf numFmtId="0" fontId="3" fillId="5" borderId="4" xfId="0" applyFont="1" applyFill="1" applyBorder="1" applyAlignment="1" applyProtection="1">
      <alignment horizontal="center" vertical="top" wrapText="1"/>
      <protection locked="0"/>
    </xf>
    <xf numFmtId="0" fontId="7" fillId="51" borderId="22" xfId="0" applyFont="1" applyFill="1" applyBorder="1" applyAlignment="1" applyProtection="1">
      <alignment horizontal="center" vertical="center" wrapText="1"/>
      <protection locked="0"/>
    </xf>
    <xf numFmtId="0" fontId="0" fillId="51" borderId="22" xfId="0" applyFill="1" applyBorder="1" applyAlignment="1" applyProtection="1">
      <alignment horizontal="left" vertical="top" wrapText="1"/>
      <protection locked="0"/>
    </xf>
    <xf numFmtId="0" fontId="0" fillId="0" borderId="0" xfId="0" applyAlignment="1" applyProtection="1">
      <alignment vertical="center" wrapText="1"/>
      <protection locked="0"/>
    </xf>
    <xf numFmtId="0" fontId="1" fillId="0" borderId="0" xfId="0" applyFont="1" applyAlignment="1" applyProtection="1">
      <alignment vertical="top" wrapText="1"/>
      <protection locked="0"/>
    </xf>
    <xf numFmtId="0" fontId="43" fillId="0" borderId="0" xfId="0" applyFont="1" applyAlignment="1" applyProtection="1">
      <alignment vertical="center"/>
      <protection locked="0"/>
    </xf>
    <xf numFmtId="0" fontId="19" fillId="41" borderId="0" xfId="0" applyFont="1" applyFill="1" applyAlignment="1" applyProtection="1">
      <alignment horizontal="center" vertical="center" wrapText="1"/>
      <protection locked="0"/>
    </xf>
    <xf numFmtId="0" fontId="3" fillId="41" borderId="0" xfId="0" applyFont="1" applyFill="1" applyAlignment="1" applyProtection="1">
      <alignment vertical="center" wrapText="1"/>
      <protection locked="0"/>
    </xf>
    <xf numFmtId="0" fontId="3" fillId="0" borderId="0" xfId="0" applyFont="1" applyAlignment="1" applyProtection="1">
      <alignment vertical="center" wrapText="1"/>
      <protection locked="0"/>
    </xf>
    <xf numFmtId="0" fontId="0" fillId="25" borderId="22" xfId="0" applyFill="1" applyBorder="1" applyProtection="1">
      <protection locked="0"/>
    </xf>
    <xf numFmtId="0" fontId="3" fillId="20" borderId="22" xfId="0" applyFont="1" applyFill="1" applyBorder="1" applyAlignment="1" applyProtection="1">
      <alignment vertical="center" wrapText="1"/>
      <protection locked="0"/>
    </xf>
    <xf numFmtId="0" fontId="0" fillId="7" borderId="22" xfId="0" applyFill="1" applyBorder="1" applyAlignment="1" applyProtection="1">
      <alignment vertical="center" wrapText="1"/>
      <protection locked="0"/>
    </xf>
    <xf numFmtId="0" fontId="7" fillId="37" borderId="22" xfId="0" applyFont="1" applyFill="1" applyBorder="1" applyAlignment="1" applyProtection="1">
      <alignment horizontal="center" vertical="center" wrapText="1"/>
      <protection locked="0"/>
    </xf>
    <xf numFmtId="0" fontId="19" fillId="39" borderId="22" xfId="0" applyFont="1" applyFill="1" applyBorder="1" applyAlignment="1" applyProtection="1">
      <alignment horizontal="center" vertical="center" wrapText="1"/>
      <protection locked="0"/>
    </xf>
    <xf numFmtId="0" fontId="0" fillId="51" borderId="22" xfId="0" applyFill="1" applyBorder="1" applyAlignment="1" applyProtection="1">
      <alignment horizontal="center" vertical="center"/>
      <protection locked="0"/>
    </xf>
    <xf numFmtId="0" fontId="41" fillId="51" borderId="22" xfId="0" applyFont="1" applyFill="1" applyBorder="1" applyAlignment="1" applyProtection="1">
      <alignment horizontal="center" vertical="center" wrapText="1"/>
      <protection locked="0"/>
    </xf>
    <xf numFmtId="0" fontId="17" fillId="41" borderId="0" xfId="0" applyFont="1" applyFill="1" applyAlignment="1" applyProtection="1">
      <alignment horizontal="center" vertical="center" wrapText="1"/>
      <protection locked="0"/>
    </xf>
    <xf numFmtId="9" fontId="0" fillId="51" borderId="22" xfId="0" applyNumberFormat="1" applyFill="1" applyBorder="1" applyAlignment="1">
      <alignment horizontal="center" vertical="center"/>
    </xf>
    <xf numFmtId="0" fontId="0" fillId="22" borderId="22" xfId="0" applyFill="1" applyBorder="1" applyAlignment="1">
      <alignment horizontal="center" vertical="center" wrapText="1"/>
    </xf>
    <xf numFmtId="9" fontId="0" fillId="51" borderId="22" xfId="0" applyNumberFormat="1" applyFill="1" applyBorder="1" applyAlignment="1">
      <alignment horizontal="center" vertical="center" wrapText="1"/>
    </xf>
    <xf numFmtId="0" fontId="5" fillId="22" borderId="22" xfId="0" applyFont="1" applyFill="1" applyBorder="1" applyAlignment="1">
      <alignment horizontal="center" vertical="center" wrapText="1"/>
    </xf>
    <xf numFmtId="0" fontId="0" fillId="0" borderId="21" xfId="0" applyBorder="1" applyAlignment="1">
      <alignment horizontal="center" vertical="center" wrapText="1"/>
    </xf>
    <xf numFmtId="0" fontId="0" fillId="7" borderId="22" xfId="0" applyFill="1" applyBorder="1" applyAlignment="1">
      <alignment horizontal="center" vertical="center" wrapText="1"/>
    </xf>
    <xf numFmtId="0" fontId="13" fillId="0" borderId="0" xfId="0" applyFont="1" applyAlignment="1" applyProtection="1">
      <alignment vertical="top" wrapText="1"/>
      <protection locked="0"/>
    </xf>
    <xf numFmtId="0" fontId="3" fillId="40" borderId="0" xfId="0" applyFont="1" applyFill="1" applyAlignment="1" applyProtection="1">
      <alignment vertical="top" wrapText="1"/>
      <protection locked="0"/>
    </xf>
    <xf numFmtId="0" fontId="5" fillId="40" borderId="0" xfId="0" applyFont="1" applyFill="1" applyAlignment="1" applyProtection="1">
      <alignment horizontal="center" vertical="center" wrapText="1"/>
      <protection locked="0"/>
    </xf>
    <xf numFmtId="0" fontId="0" fillId="40" borderId="0" xfId="0" applyFill="1" applyProtection="1">
      <protection locked="0"/>
    </xf>
    <xf numFmtId="0" fontId="7" fillId="40" borderId="0" xfId="0" applyFont="1" applyFill="1" applyAlignment="1" applyProtection="1">
      <alignment horizontal="center" vertical="center" wrapText="1"/>
      <protection locked="0"/>
    </xf>
    <xf numFmtId="0" fontId="33" fillId="48" borderId="0" xfId="0" applyFont="1" applyFill="1" applyAlignment="1" applyProtection="1">
      <alignment horizontal="center" vertical="center"/>
      <protection locked="0"/>
    </xf>
    <xf numFmtId="0" fontId="0" fillId="40" borderId="0" xfId="0" applyFill="1" applyAlignment="1" applyProtection="1">
      <alignment vertical="top" wrapText="1"/>
      <protection locked="0"/>
    </xf>
    <xf numFmtId="0" fontId="0" fillId="37" borderId="22" xfId="0" applyFill="1" applyBorder="1" applyAlignment="1" applyProtection="1">
      <alignment horizontal="center" vertical="center" wrapText="1"/>
      <protection locked="0"/>
    </xf>
    <xf numFmtId="0" fontId="0" fillId="41" borderId="22" xfId="0" applyFill="1" applyBorder="1" applyAlignment="1" applyProtection="1">
      <alignment horizontal="center" vertical="center" wrapText="1"/>
      <protection locked="0"/>
    </xf>
    <xf numFmtId="0" fontId="3" fillId="27" borderId="22" xfId="0" applyFont="1" applyFill="1" applyBorder="1" applyAlignment="1" applyProtection="1">
      <alignment horizontal="center" vertical="center" wrapText="1"/>
      <protection locked="0"/>
    </xf>
    <xf numFmtId="0" fontId="0" fillId="31" borderId="0" xfId="0" applyFill="1" applyAlignment="1" applyProtection="1">
      <alignment vertical="center" wrapText="1"/>
      <protection locked="0"/>
    </xf>
    <xf numFmtId="0" fontId="0" fillId="35" borderId="22" xfId="0" applyFill="1" applyBorder="1" applyAlignment="1" applyProtection="1">
      <alignment vertical="center" wrapText="1"/>
      <protection locked="0"/>
    </xf>
    <xf numFmtId="0" fontId="0" fillId="35" borderId="22" xfId="0" applyFill="1" applyBorder="1" applyAlignment="1" applyProtection="1">
      <alignment horizontal="center" vertical="center" wrapText="1"/>
      <protection locked="0"/>
    </xf>
    <xf numFmtId="0" fontId="10" fillId="35" borderId="22" xfId="0" applyFont="1" applyFill="1" applyBorder="1" applyAlignment="1" applyProtection="1">
      <alignment vertical="center" wrapText="1"/>
      <protection locked="0"/>
    </xf>
    <xf numFmtId="166" fontId="10" fillId="35" borderId="22" xfId="0" applyNumberFormat="1" applyFont="1" applyFill="1" applyBorder="1" applyAlignment="1" applyProtection="1">
      <alignment vertical="center" wrapText="1"/>
      <protection locked="0"/>
    </xf>
    <xf numFmtId="0" fontId="0" fillId="41" borderId="22" xfId="0" applyFill="1" applyBorder="1" applyAlignment="1" applyProtection="1">
      <alignment vertical="center" wrapText="1"/>
      <protection locked="0"/>
    </xf>
    <xf numFmtId="0" fontId="11" fillId="51" borderId="22" xfId="0" applyFont="1" applyFill="1" applyBorder="1" applyAlignment="1" applyProtection="1">
      <alignment horizontal="center" vertical="center" wrapText="1"/>
      <protection locked="0"/>
    </xf>
    <xf numFmtId="0" fontId="5" fillId="51" borderId="22" xfId="0" applyFont="1" applyFill="1" applyBorder="1" applyAlignment="1" applyProtection="1">
      <alignment horizontal="center" vertical="center" wrapText="1"/>
      <protection locked="0"/>
    </xf>
    <xf numFmtId="0" fontId="3" fillId="27" borderId="1" xfId="0" applyFont="1" applyFill="1" applyBorder="1" applyAlignment="1" applyProtection="1">
      <alignment horizontal="center" vertical="center" wrapText="1"/>
      <protection locked="0"/>
    </xf>
    <xf numFmtId="0" fontId="0" fillId="35" borderId="0" xfId="0" applyFill="1" applyAlignment="1" applyProtection="1">
      <alignment vertical="center" wrapText="1"/>
      <protection locked="0"/>
    </xf>
    <xf numFmtId="0" fontId="0" fillId="35" borderId="0" xfId="0" applyFill="1" applyAlignment="1" applyProtection="1">
      <alignment horizontal="center" vertical="center" wrapText="1"/>
      <protection locked="0"/>
    </xf>
    <xf numFmtId="0" fontId="3" fillId="36" borderId="0" xfId="0" applyFont="1" applyFill="1" applyAlignment="1" applyProtection="1">
      <alignment horizontal="left" vertical="top" wrapText="1"/>
      <protection locked="0"/>
    </xf>
    <xf numFmtId="0" fontId="0" fillId="39" borderId="22" xfId="0" applyFill="1" applyBorder="1" applyAlignment="1" applyProtection="1">
      <alignment horizontal="center" vertical="center" wrapText="1"/>
      <protection locked="0"/>
    </xf>
    <xf numFmtId="0" fontId="0" fillId="41" borderId="22" xfId="0" applyFill="1" applyBorder="1" applyAlignment="1">
      <alignment horizontal="center" vertical="center" wrapText="1"/>
    </xf>
    <xf numFmtId="0" fontId="0" fillId="35" borderId="22" xfId="0" applyFill="1" applyBorder="1" applyAlignment="1">
      <alignment horizontal="center" vertical="center" wrapText="1"/>
    </xf>
    <xf numFmtId="0" fontId="10" fillId="35" borderId="22" xfId="0" applyFont="1" applyFill="1" applyBorder="1" applyAlignment="1">
      <alignment vertical="center" wrapText="1"/>
    </xf>
    <xf numFmtId="166" fontId="10" fillId="35" borderId="22" xfId="0" applyNumberFormat="1" applyFont="1" applyFill="1" applyBorder="1" applyAlignment="1">
      <alignment vertical="center" wrapText="1"/>
    </xf>
    <xf numFmtId="0" fontId="10" fillId="40" borderId="22" xfId="0" applyFont="1" applyFill="1" applyBorder="1" applyAlignment="1">
      <alignment horizontal="center" vertical="center" wrapText="1"/>
    </xf>
    <xf numFmtId="0" fontId="0" fillId="40" borderId="22" xfId="0" applyFill="1" applyBorder="1" applyAlignment="1">
      <alignment vertical="center" wrapText="1"/>
    </xf>
    <xf numFmtId="0" fontId="0" fillId="35" borderId="0" xfId="0" applyFill="1" applyAlignment="1">
      <alignment horizontal="center" vertical="center" wrapText="1"/>
    </xf>
    <xf numFmtId="0" fontId="10" fillId="35" borderId="0" xfId="0" applyFont="1" applyFill="1" applyAlignment="1">
      <alignment vertical="center" wrapText="1"/>
    </xf>
    <xf numFmtId="166" fontId="10" fillId="35" borderId="0" xfId="0" applyNumberFormat="1" applyFont="1" applyFill="1" applyAlignment="1">
      <alignment vertical="center" wrapText="1"/>
    </xf>
    <xf numFmtId="0" fontId="10" fillId="40" borderId="0" xfId="0" applyFont="1" applyFill="1" applyAlignment="1">
      <alignment horizontal="center" vertical="center" wrapText="1"/>
    </xf>
    <xf numFmtId="0" fontId="0" fillId="40" borderId="0" xfId="0" applyFill="1" applyAlignment="1">
      <alignment vertical="center" wrapText="1"/>
    </xf>
    <xf numFmtId="0" fontId="10" fillId="39" borderId="22" xfId="0" applyFont="1" applyFill="1" applyBorder="1" applyAlignment="1">
      <alignment horizontal="center" vertical="center" wrapText="1"/>
    </xf>
    <xf numFmtId="165" fontId="15" fillId="36" borderId="0" xfId="0" applyNumberFormat="1" applyFont="1" applyFill="1" applyAlignment="1">
      <alignment horizontal="center" vertical="center" wrapText="1"/>
    </xf>
    <xf numFmtId="0" fontId="5" fillId="51" borderId="22" xfId="0" applyFont="1" applyFill="1" applyBorder="1" applyAlignment="1">
      <alignment horizontal="center" vertical="center" wrapText="1"/>
    </xf>
    <xf numFmtId="0" fontId="19" fillId="29" borderId="0" xfId="0" applyFont="1" applyFill="1" applyAlignment="1" applyProtection="1">
      <alignment horizontal="center" vertical="center" wrapText="1"/>
      <protection locked="0"/>
    </xf>
    <xf numFmtId="0" fontId="3" fillId="38" borderId="0" xfId="0" applyFont="1" applyFill="1" applyAlignment="1" applyProtection="1">
      <alignment horizontal="center" vertical="top" wrapText="1"/>
      <protection locked="0"/>
    </xf>
    <xf numFmtId="0" fontId="19" fillId="40" borderId="0" xfId="0" applyFont="1" applyFill="1" applyAlignment="1" applyProtection="1">
      <alignment horizontal="center" vertical="center" wrapText="1"/>
      <protection locked="0"/>
    </xf>
    <xf numFmtId="0" fontId="3" fillId="20" borderId="0" xfId="0" applyFont="1" applyFill="1" applyAlignment="1" applyProtection="1">
      <alignment vertical="center" wrapText="1"/>
      <protection locked="0"/>
    </xf>
    <xf numFmtId="0" fontId="19" fillId="39" borderId="0" xfId="0" applyFont="1" applyFill="1" applyAlignment="1" applyProtection="1">
      <alignment horizontal="center" vertical="center" wrapText="1"/>
      <protection locked="0"/>
    </xf>
    <xf numFmtId="0" fontId="0" fillId="51" borderId="0" xfId="0" applyFill="1" applyAlignment="1" applyProtection="1">
      <alignment horizontal="center" vertical="center"/>
      <protection locked="0"/>
    </xf>
    <xf numFmtId="0" fontId="0" fillId="51" borderId="0" xfId="0" applyFill="1" applyAlignment="1" applyProtection="1">
      <alignment horizontal="center" vertical="center" wrapText="1"/>
      <protection locked="0"/>
    </xf>
    <xf numFmtId="0" fontId="3" fillId="0" borderId="0" xfId="0" applyFont="1" applyAlignment="1" applyProtection="1">
      <alignment horizontal="center" vertical="top" wrapText="1"/>
      <protection locked="0"/>
    </xf>
    <xf numFmtId="0" fontId="23" fillId="0" borderId="0" xfId="0" applyFont="1" applyAlignment="1" applyProtection="1">
      <alignment horizontal="center" vertical="center" wrapText="1"/>
      <protection locked="0"/>
    </xf>
    <xf numFmtId="0" fontId="3" fillId="42" borderId="0" xfId="0" applyFont="1" applyFill="1" applyAlignment="1" applyProtection="1">
      <alignment vertical="top" wrapText="1"/>
      <protection locked="0"/>
    </xf>
    <xf numFmtId="0" fontId="3" fillId="42" borderId="0" xfId="0" applyFont="1" applyFill="1" applyAlignment="1" applyProtection="1">
      <alignment horizontal="center" vertical="center" wrapText="1"/>
      <protection locked="0"/>
    </xf>
    <xf numFmtId="0" fontId="8" fillId="18" borderId="0" xfId="0" applyFont="1" applyFill="1" applyAlignment="1" applyProtection="1">
      <alignment vertical="top" wrapText="1"/>
      <protection locked="0"/>
    </xf>
    <xf numFmtId="0" fontId="10" fillId="17" borderId="0" xfId="0" applyFont="1" applyFill="1" applyAlignment="1" applyProtection="1">
      <alignment horizontal="center" vertical="top" wrapText="1"/>
      <protection locked="0"/>
    </xf>
    <xf numFmtId="0" fontId="43" fillId="0" borderId="0" xfId="0" applyFont="1" applyAlignment="1" applyProtection="1">
      <alignment horizontal="right" vertical="top"/>
      <protection locked="0"/>
    </xf>
    <xf numFmtId="0" fontId="12" fillId="14" borderId="0" xfId="0" applyFont="1" applyFill="1" applyAlignment="1">
      <alignment horizontal="center" vertical="center" wrapText="1"/>
    </xf>
    <xf numFmtId="0" fontId="13" fillId="35" borderId="22" xfId="0" applyFont="1" applyFill="1" applyBorder="1" applyAlignment="1">
      <alignment horizontal="center" vertical="center" wrapText="1"/>
    </xf>
    <xf numFmtId="2" fontId="5" fillId="35" borderId="22" xfId="0" applyNumberFormat="1" applyFont="1" applyFill="1" applyBorder="1" applyAlignment="1">
      <alignment horizontal="center"/>
    </xf>
    <xf numFmtId="165" fontId="5" fillId="35" borderId="22" xfId="0" applyNumberFormat="1" applyFont="1" applyFill="1" applyBorder="1" applyAlignment="1">
      <alignment horizontal="center"/>
    </xf>
    <xf numFmtId="0" fontId="23" fillId="43" borderId="0" xfId="0" applyFont="1" applyFill="1" applyAlignment="1">
      <alignment horizontal="center" vertical="center" wrapText="1"/>
    </xf>
    <xf numFmtId="9" fontId="0" fillId="51" borderId="0" xfId="0" applyNumberFormat="1" applyFill="1" applyAlignment="1">
      <alignment horizontal="center" vertical="center"/>
    </xf>
    <xf numFmtId="0" fontId="0" fillId="22" borderId="0" xfId="0" applyFill="1" applyAlignment="1">
      <alignment horizontal="center" vertical="center" wrapText="1"/>
    </xf>
    <xf numFmtId="9" fontId="0" fillId="51" borderId="0" xfId="0" applyNumberFormat="1" applyFill="1" applyAlignment="1">
      <alignment horizontal="center" vertical="center" wrapText="1"/>
    </xf>
    <xf numFmtId="0" fontId="41" fillId="51" borderId="0" xfId="0" applyFont="1" applyFill="1" applyAlignment="1">
      <alignment horizontal="center" vertical="center" wrapText="1"/>
    </xf>
    <xf numFmtId="0" fontId="5" fillId="22" borderId="0" xfId="0" applyFont="1" applyFill="1" applyAlignment="1">
      <alignment horizontal="center" vertical="center" wrapText="1"/>
    </xf>
    <xf numFmtId="0" fontId="13" fillId="35" borderId="0" xfId="0" applyFont="1" applyFill="1" applyAlignment="1">
      <alignment horizontal="center" vertical="center" wrapText="1"/>
    </xf>
    <xf numFmtId="2" fontId="5" fillId="35" borderId="0" xfId="0" applyNumberFormat="1" applyFont="1" applyFill="1" applyAlignment="1">
      <alignment horizontal="center"/>
    </xf>
    <xf numFmtId="165" fontId="5" fillId="35" borderId="0" xfId="0" applyNumberFormat="1" applyFont="1" applyFill="1" applyAlignment="1">
      <alignment horizontal="center"/>
    </xf>
    <xf numFmtId="0" fontId="0" fillId="56" borderId="22" xfId="0" applyFill="1" applyBorder="1" applyAlignment="1">
      <alignment horizontal="center" vertical="center" wrapText="1"/>
    </xf>
    <xf numFmtId="0" fontId="0" fillId="56" borderId="0" xfId="0" applyFill="1" applyAlignment="1">
      <alignment horizontal="center" vertical="center" wrapText="1"/>
    </xf>
    <xf numFmtId="0" fontId="3" fillId="54" borderId="0" xfId="0" applyFont="1" applyFill="1" applyAlignment="1" applyProtection="1">
      <alignment horizontal="center" vertical="center"/>
      <protection locked="0"/>
    </xf>
    <xf numFmtId="0" fontId="3" fillId="54" borderId="0" xfId="0" applyFont="1" applyFill="1" applyAlignment="1" applyProtection="1">
      <alignment vertical="center"/>
      <protection locked="0"/>
    </xf>
    <xf numFmtId="0" fontId="49" fillId="49" borderId="0" xfId="0" applyFont="1" applyFill="1" applyAlignment="1" applyProtection="1">
      <alignment horizontal="left" vertical="top" wrapText="1"/>
      <protection locked="0"/>
    </xf>
    <xf numFmtId="0" fontId="0" fillId="0" borderId="0" xfId="0" applyAlignment="1" applyProtection="1">
      <alignment horizontal="center" vertical="center"/>
      <protection locked="0"/>
    </xf>
    <xf numFmtId="0" fontId="3" fillId="37" borderId="22" xfId="0" applyFont="1" applyFill="1" applyBorder="1" applyAlignment="1" applyProtection="1">
      <alignment horizontal="center" vertical="center" wrapText="1"/>
      <protection locked="0"/>
    </xf>
    <xf numFmtId="0" fontId="0" fillId="41" borderId="0" xfId="0" applyFill="1" applyAlignment="1" applyProtection="1">
      <alignment vertical="center" wrapText="1"/>
      <protection locked="0"/>
    </xf>
    <xf numFmtId="0" fontId="3" fillId="5" borderId="22" xfId="0" applyFont="1" applyFill="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0" fillId="0" borderId="22" xfId="0" applyBorder="1" applyAlignment="1" applyProtection="1">
      <alignment vertical="center" wrapText="1"/>
      <protection locked="0"/>
    </xf>
    <xf numFmtId="0" fontId="8" fillId="0" borderId="0" xfId="0" applyFont="1" applyAlignment="1" applyProtection="1">
      <alignment vertical="top" wrapText="1"/>
      <protection locked="0"/>
    </xf>
    <xf numFmtId="0" fontId="10" fillId="0" borderId="0" xfId="0" applyFont="1" applyAlignment="1" applyProtection="1">
      <alignment horizontal="center" vertical="top" wrapText="1"/>
      <protection locked="0"/>
    </xf>
    <xf numFmtId="0" fontId="3" fillId="36" borderId="0" xfId="0" applyFont="1" applyFill="1" applyAlignment="1" applyProtection="1">
      <alignment horizontal="left" vertical="center" wrapText="1"/>
      <protection locked="0"/>
    </xf>
    <xf numFmtId="0" fontId="3" fillId="0" borderId="0" xfId="0" applyFont="1" applyAlignment="1" applyProtection="1">
      <alignment horizontal="left" vertical="center"/>
      <protection locked="0"/>
    </xf>
    <xf numFmtId="165" fontId="15" fillId="36" borderId="22" xfId="0" applyNumberFormat="1" applyFont="1" applyFill="1" applyBorder="1" applyAlignment="1">
      <alignment horizontal="center" vertical="center" wrapText="1"/>
    </xf>
    <xf numFmtId="0" fontId="5" fillId="5" borderId="0" xfId="0" applyFont="1" applyFill="1" applyAlignment="1" applyProtection="1">
      <alignment vertical="top" wrapText="1"/>
      <protection locked="0"/>
    </xf>
    <xf numFmtId="0" fontId="3" fillId="10" borderId="0" xfId="0" applyFont="1" applyFill="1" applyAlignment="1" applyProtection="1">
      <alignment horizontal="center" vertical="top" wrapText="1"/>
      <protection locked="0"/>
    </xf>
    <xf numFmtId="0" fontId="3" fillId="10" borderId="22" xfId="0" applyFont="1" applyFill="1" applyBorder="1" applyAlignment="1" applyProtection="1">
      <alignment horizontal="center" vertical="top" wrapText="1"/>
      <protection locked="0"/>
    </xf>
    <xf numFmtId="0" fontId="11" fillId="0" borderId="0" xfId="0" applyFont="1" applyAlignment="1" applyProtection="1">
      <alignment horizontal="center" vertical="center" wrapText="1"/>
      <protection locked="0"/>
    </xf>
    <xf numFmtId="0" fontId="5" fillId="56" borderId="22" xfId="0" applyFont="1" applyFill="1" applyBorder="1" applyAlignment="1">
      <alignment horizontal="center" vertical="center" wrapText="1"/>
    </xf>
    <xf numFmtId="0" fontId="11" fillId="51" borderId="22" xfId="0" applyFont="1" applyFill="1" applyBorder="1" applyAlignment="1">
      <alignment horizontal="center" vertical="center" wrapText="1"/>
    </xf>
    <xf numFmtId="0" fontId="69" fillId="0" borderId="0" xfId="0" applyFont="1" applyAlignment="1" applyProtection="1">
      <alignment vertical="top" wrapText="1"/>
      <protection locked="0"/>
    </xf>
    <xf numFmtId="0" fontId="5" fillId="5" borderId="0" xfId="0" applyFont="1" applyFill="1" applyAlignment="1" applyProtection="1">
      <alignment horizontal="left" vertical="center" wrapText="1"/>
      <protection locked="0"/>
    </xf>
    <xf numFmtId="0" fontId="11" fillId="43" borderId="0" xfId="0" applyFont="1" applyFill="1" applyAlignment="1" applyProtection="1">
      <alignment horizontal="center" vertical="center"/>
      <protection locked="0"/>
    </xf>
    <xf numFmtId="0" fontId="3" fillId="10" borderId="22" xfId="0" applyFont="1" applyFill="1" applyBorder="1" applyAlignment="1" applyProtection="1">
      <alignment horizontal="center" vertical="center" wrapText="1"/>
      <protection locked="0"/>
    </xf>
    <xf numFmtId="0" fontId="11" fillId="0" borderId="0" xfId="0" applyFont="1" applyAlignment="1" applyProtection="1">
      <alignment horizontal="center" vertical="center"/>
      <protection locked="0"/>
    </xf>
    <xf numFmtId="0" fontId="3" fillId="39" borderId="0" xfId="0" applyFont="1" applyFill="1" applyAlignment="1" applyProtection="1">
      <alignment horizontal="left" vertical="top" wrapText="1"/>
      <protection locked="0"/>
    </xf>
    <xf numFmtId="0" fontId="45" fillId="0" borderId="0" xfId="0" applyFont="1" applyAlignment="1" applyProtection="1">
      <alignment horizontal="left" vertical="center" wrapText="1"/>
      <protection locked="0"/>
    </xf>
    <xf numFmtId="0" fontId="43" fillId="0" borderId="0" xfId="0" applyFont="1" applyAlignment="1" applyProtection="1">
      <alignment horizontal="right" vertical="center"/>
      <protection locked="0"/>
    </xf>
    <xf numFmtId="0" fontId="6" fillId="0" borderId="0" xfId="0" applyFont="1" applyAlignment="1" applyProtection="1">
      <alignment vertical="center" wrapText="1"/>
      <protection locked="0"/>
    </xf>
    <xf numFmtId="0" fontId="5" fillId="0" borderId="0" xfId="0" applyFont="1" applyAlignment="1" applyProtection="1">
      <alignment vertical="top" wrapText="1"/>
      <protection locked="0"/>
    </xf>
    <xf numFmtId="0" fontId="5" fillId="0" borderId="8" xfId="0" applyFont="1" applyBorder="1" applyAlignment="1" applyProtection="1">
      <alignment vertical="top" wrapText="1"/>
      <protection locked="0"/>
    </xf>
    <xf numFmtId="0" fontId="0" fillId="0" borderId="0" xfId="0" applyAlignment="1" applyProtection="1">
      <alignment vertical="center"/>
      <protection locked="0"/>
    </xf>
    <xf numFmtId="165" fontId="0" fillId="23" borderId="0" xfId="0" applyNumberFormat="1" applyFill="1" applyAlignment="1" applyProtection="1">
      <alignment horizontal="center" vertical="top" wrapText="1"/>
      <protection locked="0"/>
    </xf>
    <xf numFmtId="0" fontId="0" fillId="12" borderId="22" xfId="0" applyFill="1" applyBorder="1" applyAlignment="1" applyProtection="1">
      <alignment horizontal="center" vertical="center"/>
      <protection locked="0"/>
    </xf>
    <xf numFmtId="1" fontId="0" fillId="12" borderId="22" xfId="0" applyNumberFormat="1" applyFill="1" applyBorder="1" applyAlignment="1" applyProtection="1">
      <alignment horizontal="center" vertical="center"/>
      <protection locked="0"/>
    </xf>
    <xf numFmtId="0" fontId="0" fillId="15" borderId="0" xfId="0" applyFill="1" applyAlignment="1" applyProtection="1">
      <alignment vertical="center" wrapText="1"/>
      <protection locked="0"/>
    </xf>
    <xf numFmtId="0" fontId="30" fillId="0" borderId="0" xfId="0" applyFont="1" applyAlignment="1" applyProtection="1">
      <alignment horizontal="center" vertical="center" wrapText="1"/>
      <protection locked="0"/>
    </xf>
    <xf numFmtId="0" fontId="38" fillId="41" borderId="0" xfId="1" applyFont="1" applyFill="1" applyBorder="1" applyAlignment="1" applyProtection="1">
      <alignment horizontal="center" vertical="center" wrapText="1"/>
      <protection locked="0"/>
    </xf>
    <xf numFmtId="165" fontId="0" fillId="0" borderId="0" xfId="0" applyNumberFormat="1" applyAlignment="1" applyProtection="1">
      <alignment horizontal="center" vertical="top" wrapText="1"/>
      <protection locked="0"/>
    </xf>
    <xf numFmtId="0" fontId="0" fillId="51" borderId="22" xfId="0" applyFill="1" applyBorder="1" applyAlignment="1">
      <alignment horizontal="center" vertical="top" wrapText="1"/>
    </xf>
    <xf numFmtId="0" fontId="0" fillId="50" borderId="22" xfId="0" applyFill="1" applyBorder="1" applyAlignment="1">
      <alignment horizontal="center" vertical="center" wrapText="1"/>
    </xf>
    <xf numFmtId="0" fontId="0" fillId="39" borderId="22" xfId="0" applyFill="1" applyBorder="1" applyAlignment="1">
      <alignment horizontal="center" vertical="center" wrapText="1"/>
    </xf>
    <xf numFmtId="165" fontId="0" fillId="39" borderId="22" xfId="0" applyNumberFormat="1" applyFill="1" applyBorder="1" applyAlignment="1">
      <alignment horizontal="center" vertical="center" wrapText="1"/>
    </xf>
    <xf numFmtId="0" fontId="0" fillId="43" borderId="22" xfId="0" applyFill="1" applyBorder="1" applyAlignment="1">
      <alignment horizontal="center" vertical="center"/>
    </xf>
    <xf numFmtId="0" fontId="0" fillId="4" borderId="22" xfId="0" applyFill="1" applyBorder="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0" fontId="0" fillId="4" borderId="22" xfId="0" applyFill="1" applyBorder="1" applyAlignment="1">
      <alignment horizontal="center" vertical="center" wrapText="1"/>
    </xf>
    <xf numFmtId="0" fontId="0" fillId="15" borderId="0" xfId="0" applyFill="1" applyAlignment="1" applyProtection="1">
      <alignment horizontal="center" vertical="center" wrapText="1"/>
      <protection locked="0"/>
    </xf>
    <xf numFmtId="0" fontId="8" fillId="0" borderId="0" xfId="0" applyFont="1" applyAlignment="1" applyProtection="1">
      <alignment vertical="center" wrapText="1"/>
      <protection locked="0"/>
    </xf>
    <xf numFmtId="0" fontId="3" fillId="39" borderId="1" xfId="0" applyFont="1" applyFill="1" applyBorder="1" applyAlignment="1" applyProtection="1">
      <alignment horizontal="center" vertical="center"/>
      <protection locked="0"/>
    </xf>
    <xf numFmtId="0" fontId="3" fillId="39" borderId="1" xfId="0" applyFont="1" applyFill="1" applyBorder="1" applyAlignment="1" applyProtection="1">
      <alignment horizontal="center" vertical="center" wrapText="1"/>
      <protection locked="0"/>
    </xf>
    <xf numFmtId="0" fontId="3" fillId="51" borderId="1" xfId="0" applyFont="1" applyFill="1" applyBorder="1" applyAlignment="1" applyProtection="1">
      <alignment horizontal="center" vertical="center"/>
      <protection locked="0"/>
    </xf>
    <xf numFmtId="0" fontId="7" fillId="51" borderId="1" xfId="0" applyFont="1" applyFill="1" applyBorder="1" applyAlignment="1" applyProtection="1">
      <alignment horizontal="center" vertical="center" wrapText="1"/>
      <protection locked="0"/>
    </xf>
    <xf numFmtId="0" fontId="0" fillId="51" borderId="1" xfId="0" applyFill="1" applyBorder="1" applyAlignment="1" applyProtection="1">
      <alignment horizontal="center" vertical="center"/>
      <protection locked="0"/>
    </xf>
    <xf numFmtId="0" fontId="3" fillId="0" borderId="6" xfId="0" applyFont="1" applyBorder="1" applyAlignment="1" applyProtection="1">
      <alignment horizontal="left" vertical="center"/>
      <protection locked="0"/>
    </xf>
    <xf numFmtId="0" fontId="0" fillId="0" borderId="6" xfId="0" applyBorder="1" applyAlignment="1" applyProtection="1">
      <alignment horizontal="center" vertical="center"/>
      <protection locked="0"/>
    </xf>
    <xf numFmtId="0" fontId="7" fillId="0" borderId="6" xfId="0" applyFont="1" applyBorder="1" applyAlignment="1" applyProtection="1">
      <alignment horizontal="center" vertical="center" wrapText="1"/>
      <protection locked="0"/>
    </xf>
    <xf numFmtId="0" fontId="3" fillId="51" borderId="1" xfId="0" applyFont="1" applyFill="1" applyBorder="1" applyAlignment="1" applyProtection="1">
      <alignment vertical="center"/>
      <protection locked="0"/>
    </xf>
    <xf numFmtId="0" fontId="3" fillId="40" borderId="0" xfId="0" applyFont="1" applyFill="1" applyAlignment="1" applyProtection="1">
      <alignment horizontal="center" vertical="top" wrapText="1"/>
      <protection locked="0"/>
    </xf>
    <xf numFmtId="0" fontId="5" fillId="9" borderId="0" xfId="0" applyFont="1" applyFill="1" applyAlignment="1" applyProtection="1">
      <alignment horizontal="center" vertical="center" wrapText="1"/>
      <protection locked="0"/>
    </xf>
    <xf numFmtId="0" fontId="3" fillId="42" borderId="0" xfId="0" applyFont="1" applyFill="1" applyAlignment="1" applyProtection="1">
      <alignment vertical="center"/>
      <protection locked="0"/>
    </xf>
    <xf numFmtId="0" fontId="3" fillId="42" borderId="0" xfId="0" applyFont="1" applyFill="1" applyAlignment="1" applyProtection="1">
      <alignment vertical="center" wrapText="1"/>
      <protection locked="0"/>
    </xf>
    <xf numFmtId="0" fontId="0" fillId="42" borderId="0" xfId="0" applyFill="1" applyProtection="1">
      <protection locked="0"/>
    </xf>
    <xf numFmtId="0" fontId="7" fillId="42" borderId="0" xfId="0" applyFont="1" applyFill="1" applyAlignment="1" applyProtection="1">
      <alignment horizontal="center" vertical="center" wrapText="1"/>
      <protection locked="0"/>
    </xf>
    <xf numFmtId="0" fontId="3" fillId="43" borderId="1" xfId="0" applyFont="1" applyFill="1" applyBorder="1" applyAlignment="1" applyProtection="1">
      <alignment horizontal="center" vertical="center"/>
      <protection locked="0"/>
    </xf>
    <xf numFmtId="0" fontId="0" fillId="42" borderId="0" xfId="0" applyFill="1" applyAlignment="1" applyProtection="1">
      <alignment vertical="center" wrapText="1"/>
      <protection locked="0"/>
    </xf>
    <xf numFmtId="0" fontId="3" fillId="42" borderId="0" xfId="0" applyFont="1" applyFill="1" applyAlignment="1" applyProtection="1">
      <alignment horizontal="left" vertical="center"/>
      <protection locked="0"/>
    </xf>
    <xf numFmtId="0" fontId="7" fillId="53" borderId="0" xfId="0" applyFont="1" applyFill="1" applyAlignment="1" applyProtection="1">
      <alignment horizontal="center" vertical="center" wrapText="1"/>
      <protection locked="0"/>
    </xf>
    <xf numFmtId="0" fontId="3" fillId="38" borderId="1" xfId="0" applyFont="1" applyFill="1" applyBorder="1" applyAlignment="1" applyProtection="1">
      <alignment horizontal="center" vertical="center" wrapText="1"/>
      <protection locked="0"/>
    </xf>
    <xf numFmtId="0" fontId="0" fillId="51" borderId="1" xfId="0" applyFill="1" applyBorder="1" applyAlignment="1" applyProtection="1">
      <alignment horizontal="center" vertical="center" wrapText="1"/>
      <protection locked="0"/>
    </xf>
    <xf numFmtId="0" fontId="3" fillId="0" borderId="0" xfId="0" applyFont="1" applyAlignment="1" applyProtection="1">
      <alignment vertical="center"/>
      <protection locked="0"/>
    </xf>
    <xf numFmtId="0" fontId="0" fillId="51" borderId="1" xfId="0" applyFill="1" applyBorder="1" applyAlignment="1">
      <alignment horizontal="center" vertical="center" wrapText="1"/>
    </xf>
    <xf numFmtId="0" fontId="0" fillId="51" borderId="36" xfId="0" applyFill="1" applyBorder="1" applyAlignment="1" applyProtection="1">
      <alignment vertical="top" wrapText="1"/>
      <protection locked="0"/>
    </xf>
    <xf numFmtId="0" fontId="7" fillId="51" borderId="36" xfId="0" applyFont="1" applyFill="1" applyBorder="1" applyAlignment="1" applyProtection="1">
      <alignment horizontal="center" vertical="center" wrapText="1"/>
      <protection locked="0"/>
    </xf>
    <xf numFmtId="0" fontId="0" fillId="51" borderId="36" xfId="0" applyFill="1" applyBorder="1" applyAlignment="1" applyProtection="1">
      <alignment horizontal="left" vertical="center" wrapText="1"/>
      <protection locked="0"/>
    </xf>
    <xf numFmtId="0" fontId="3" fillId="51" borderId="36" xfId="0" applyFont="1" applyFill="1" applyBorder="1" applyAlignment="1">
      <alignment horizontal="center" vertical="center" wrapText="1"/>
    </xf>
    <xf numFmtId="0" fontId="3" fillId="38" borderId="36" xfId="0" applyFont="1" applyFill="1" applyBorder="1" applyAlignment="1" applyProtection="1">
      <alignment horizontal="center" vertical="center"/>
      <protection locked="0"/>
    </xf>
    <xf numFmtId="0" fontId="3" fillId="38" borderId="36" xfId="0" applyFont="1" applyFill="1" applyBorder="1" applyAlignment="1" applyProtection="1">
      <alignment horizontal="center" vertical="center" wrapText="1"/>
      <protection locked="0"/>
    </xf>
    <xf numFmtId="0" fontId="3" fillId="51" borderId="36" xfId="0" applyFont="1" applyFill="1" applyBorder="1" applyAlignment="1" applyProtection="1">
      <alignment horizontal="center" vertical="center"/>
      <protection locked="0"/>
    </xf>
    <xf numFmtId="0" fontId="3" fillId="51" borderId="36" xfId="0" applyFont="1" applyFill="1" applyBorder="1" applyAlignment="1" applyProtection="1">
      <alignment horizontal="center" vertical="center" wrapText="1"/>
      <protection locked="0"/>
    </xf>
    <xf numFmtId="0" fontId="0" fillId="51" borderId="36" xfId="0" applyFill="1" applyBorder="1" applyAlignment="1" applyProtection="1">
      <alignment horizontal="center" vertical="center"/>
      <protection locked="0"/>
    </xf>
    <xf numFmtId="0" fontId="32" fillId="0" borderId="0" xfId="0" applyFont="1" applyAlignment="1" applyProtection="1">
      <alignment vertical="top" wrapText="1"/>
      <protection locked="0"/>
    </xf>
    <xf numFmtId="0" fontId="7" fillId="51" borderId="36" xfId="0" applyFont="1" applyFill="1" applyBorder="1" applyAlignment="1">
      <alignment horizontal="center" vertical="center" wrapText="1"/>
    </xf>
    <xf numFmtId="0" fontId="0" fillId="51" borderId="36" xfId="0" applyFill="1" applyBorder="1" applyAlignment="1">
      <alignment vertical="center" wrapText="1"/>
    </xf>
    <xf numFmtId="0" fontId="0" fillId="50" borderId="36" xfId="0" applyFill="1" applyBorder="1" applyAlignment="1" applyProtection="1">
      <alignment horizontal="center" vertical="center"/>
      <protection locked="0"/>
    </xf>
    <xf numFmtId="0" fontId="0" fillId="50" borderId="36" xfId="0" applyFill="1" applyBorder="1" applyAlignment="1" applyProtection="1">
      <alignment vertical="center"/>
      <protection locked="0"/>
    </xf>
    <xf numFmtId="0" fontId="0" fillId="50" borderId="36" xfId="0" applyFill="1" applyBorder="1" applyAlignment="1">
      <alignment horizontal="center" vertical="center"/>
    </xf>
    <xf numFmtId="0" fontId="0" fillId="39" borderId="36" xfId="0" applyFill="1" applyBorder="1" applyAlignment="1">
      <alignment horizontal="center" vertical="center"/>
    </xf>
    <xf numFmtId="0" fontId="0" fillId="44" borderId="36" xfId="0" applyFill="1" applyBorder="1" applyAlignment="1">
      <alignment horizontal="center" vertical="center"/>
    </xf>
    <xf numFmtId="0" fontId="3" fillId="39" borderId="36" xfId="0" applyFont="1" applyFill="1" applyBorder="1" applyAlignment="1" applyProtection="1">
      <alignment vertical="center"/>
      <protection locked="0"/>
    </xf>
    <xf numFmtId="0" fontId="0" fillId="51" borderId="36" xfId="0" applyFill="1" applyBorder="1" applyAlignment="1" applyProtection="1">
      <alignment horizontal="center" vertical="center" wrapText="1"/>
      <protection locked="0"/>
    </xf>
    <xf numFmtId="0" fontId="0" fillId="4" borderId="36" xfId="0" applyFill="1" applyBorder="1" applyAlignment="1">
      <alignment horizontal="center" vertical="center" wrapText="1"/>
    </xf>
    <xf numFmtId="165" fontId="0" fillId="0" borderId="36" xfId="0" applyNumberFormat="1" applyBorder="1" applyAlignment="1">
      <alignment horizontal="center" vertical="center" wrapText="1"/>
    </xf>
    <xf numFmtId="0" fontId="0" fillId="51" borderId="36" xfId="0" applyFill="1" applyBorder="1" applyAlignment="1" applyProtection="1">
      <alignment vertical="center" wrapText="1"/>
      <protection locked="0"/>
    </xf>
    <xf numFmtId="0" fontId="0" fillId="4" borderId="36" xfId="0" applyFill="1" applyBorder="1" applyAlignment="1" applyProtection="1">
      <alignment horizontal="center" vertical="center" wrapText="1"/>
      <protection locked="0"/>
    </xf>
    <xf numFmtId="0" fontId="0" fillId="51" borderId="36" xfId="0" applyFill="1" applyBorder="1" applyAlignment="1" applyProtection="1">
      <alignment horizontal="left" vertical="center"/>
      <protection locked="0"/>
    </xf>
    <xf numFmtId="0" fontId="0" fillId="0" borderId="36" xfId="0" applyBorder="1" applyAlignment="1" applyProtection="1">
      <alignment horizontal="center" vertical="center"/>
      <protection locked="0"/>
    </xf>
    <xf numFmtId="0" fontId="3" fillId="38" borderId="36" xfId="0" applyFont="1" applyFill="1" applyBorder="1" applyAlignment="1" applyProtection="1">
      <alignment vertical="center" wrapText="1"/>
      <protection locked="0"/>
    </xf>
    <xf numFmtId="0" fontId="3" fillId="51" borderId="36" xfId="0" applyFont="1" applyFill="1" applyBorder="1" applyAlignment="1" applyProtection="1">
      <alignment vertical="center" wrapText="1"/>
      <protection locked="0"/>
    </xf>
    <xf numFmtId="0" fontId="0" fillId="51" borderId="36" xfId="0" applyFill="1" applyBorder="1" applyAlignment="1" applyProtection="1">
      <alignment vertical="center"/>
      <protection locked="0"/>
    </xf>
    <xf numFmtId="0" fontId="0" fillId="51" borderId="36" xfId="0" applyFill="1" applyBorder="1" applyAlignment="1">
      <alignment horizontal="center" vertical="center" wrapText="1"/>
    </xf>
    <xf numFmtId="0" fontId="3" fillId="12" borderId="36" xfId="0" applyFont="1" applyFill="1" applyBorder="1" applyAlignment="1">
      <alignment horizontal="center" vertical="center"/>
    </xf>
    <xf numFmtId="165" fontId="0" fillId="0" borderId="36" xfId="0" applyNumberFormat="1" applyBorder="1" applyAlignment="1">
      <alignment horizontal="center" vertical="center"/>
    </xf>
    <xf numFmtId="0" fontId="3" fillId="42" borderId="0" xfId="0" applyFont="1" applyFill="1" applyProtection="1">
      <protection locked="0"/>
    </xf>
    <xf numFmtId="0" fontId="7" fillId="43" borderId="0" xfId="0" applyFont="1" applyFill="1" applyAlignment="1" applyProtection="1">
      <alignment horizontal="center" vertical="center" wrapText="1"/>
      <protection locked="0"/>
    </xf>
    <xf numFmtId="0" fontId="0" fillId="42" borderId="0" xfId="0" applyFill="1" applyAlignment="1" applyProtection="1">
      <alignment vertical="top" wrapText="1"/>
      <protection locked="0"/>
    </xf>
    <xf numFmtId="0" fontId="3" fillId="38" borderId="36" xfId="0" applyFont="1" applyFill="1" applyBorder="1" applyAlignment="1" applyProtection="1">
      <alignment vertical="center"/>
      <protection locked="0"/>
    </xf>
    <xf numFmtId="0" fontId="3" fillId="41" borderId="36" xfId="0" applyFont="1" applyFill="1" applyBorder="1" applyAlignment="1" applyProtection="1">
      <alignment horizontal="center" vertical="center" wrapText="1"/>
      <protection locked="0"/>
    </xf>
    <xf numFmtId="0" fontId="0" fillId="0" borderId="0" xfId="0" applyAlignment="1" applyProtection="1">
      <alignment horizontal="right" vertical="center" wrapText="1"/>
      <protection locked="0"/>
    </xf>
    <xf numFmtId="0" fontId="0" fillId="0" borderId="36" xfId="0" applyBorder="1" applyAlignment="1">
      <alignment horizontal="center" vertical="center" wrapText="1"/>
    </xf>
    <xf numFmtId="0" fontId="0" fillId="12" borderId="36" xfId="0" applyFill="1" applyBorder="1" applyAlignment="1">
      <alignment horizontal="center" vertical="center"/>
    </xf>
    <xf numFmtId="0" fontId="0" fillId="51" borderId="36" xfId="0" applyFill="1" applyBorder="1" applyAlignment="1">
      <alignment vertical="top" wrapText="1"/>
    </xf>
    <xf numFmtId="0" fontId="20" fillId="0" borderId="0" xfId="0" applyFont="1" applyAlignment="1" applyProtection="1">
      <alignment vertical="center" wrapText="1"/>
      <protection locked="0"/>
    </xf>
    <xf numFmtId="9" fontId="0" fillId="51" borderId="36" xfId="0" applyNumberFormat="1" applyFill="1" applyBorder="1" applyAlignment="1" applyProtection="1">
      <alignment horizontal="center" vertical="center" wrapText="1"/>
      <protection locked="0"/>
    </xf>
    <xf numFmtId="0" fontId="0" fillId="51" borderId="36" xfId="0" applyFill="1" applyBorder="1" applyAlignment="1" applyProtection="1">
      <alignment horizontal="center" vertical="top" wrapText="1"/>
      <protection locked="0"/>
    </xf>
    <xf numFmtId="0" fontId="3" fillId="39" borderId="36" xfId="0" applyFont="1" applyFill="1" applyBorder="1" applyAlignment="1" applyProtection="1">
      <alignment vertical="top" wrapText="1"/>
      <protection locked="0"/>
    </xf>
    <xf numFmtId="0" fontId="3" fillId="39" borderId="36" xfId="0" applyFont="1" applyFill="1" applyBorder="1" applyAlignment="1" applyProtection="1">
      <alignment horizontal="center" vertical="center" wrapText="1"/>
      <protection locked="0"/>
    </xf>
    <xf numFmtId="0" fontId="45" fillId="0" borderId="0" xfId="0" applyFont="1" applyAlignment="1" applyProtection="1">
      <alignment vertical="top" wrapText="1"/>
      <protection locked="0"/>
    </xf>
    <xf numFmtId="0" fontId="0" fillId="51" borderId="36" xfId="0" applyFill="1" applyBorder="1" applyAlignment="1" applyProtection="1">
      <alignment horizontal="left" vertical="top" wrapText="1"/>
      <protection locked="0"/>
    </xf>
    <xf numFmtId="0" fontId="11" fillId="51" borderId="36" xfId="0" applyFont="1" applyFill="1" applyBorder="1" applyAlignment="1" applyProtection="1">
      <alignment horizontal="center" vertical="center" wrapText="1"/>
      <protection locked="0"/>
    </xf>
    <xf numFmtId="0" fontId="25" fillId="51" borderId="1" xfId="0" applyFont="1" applyFill="1" applyBorder="1" applyAlignment="1" applyProtection="1">
      <alignment horizontal="center" vertical="center" wrapText="1"/>
      <protection locked="0"/>
    </xf>
    <xf numFmtId="0" fontId="0" fillId="56" borderId="1" xfId="0" applyFill="1" applyBorder="1" applyAlignment="1" applyProtection="1">
      <alignment horizontal="center" vertical="center" wrapText="1"/>
      <protection locked="0"/>
    </xf>
    <xf numFmtId="0" fontId="3" fillId="40" borderId="1" xfId="0" applyFont="1" applyFill="1" applyBorder="1" applyAlignment="1" applyProtection="1">
      <alignment horizontal="center" vertical="center" wrapText="1"/>
      <protection locked="0"/>
    </xf>
    <xf numFmtId="0" fontId="0" fillId="40" borderId="0" xfId="0" applyFill="1" applyAlignment="1" applyProtection="1">
      <alignment horizontal="left" vertical="top" wrapText="1"/>
      <protection locked="0"/>
    </xf>
    <xf numFmtId="0" fontId="0" fillId="51" borderId="1" xfId="0" applyFill="1" applyBorder="1" applyAlignment="1" applyProtection="1">
      <alignment horizontal="left" vertical="center" wrapText="1"/>
      <protection locked="0"/>
    </xf>
    <xf numFmtId="0" fontId="3" fillId="38" borderId="0" xfId="0" applyFont="1" applyFill="1" applyAlignment="1" applyProtection="1">
      <alignment vertical="top" wrapText="1"/>
      <protection locked="0"/>
    </xf>
    <xf numFmtId="0" fontId="3" fillId="38" borderId="0" xfId="0" applyFont="1" applyFill="1" applyAlignment="1" applyProtection="1">
      <alignment horizontal="center" vertical="center" wrapText="1"/>
      <protection locked="0"/>
    </xf>
    <xf numFmtId="0" fontId="7" fillId="35" borderId="0" xfId="0" applyFont="1" applyFill="1" applyAlignment="1" applyProtection="1">
      <alignment horizontal="center" vertical="center" wrapText="1"/>
      <protection locked="0"/>
    </xf>
    <xf numFmtId="0" fontId="3" fillId="43" borderId="15" xfId="0" applyFont="1" applyFill="1" applyBorder="1" applyAlignment="1" applyProtection="1">
      <alignment horizontal="center" vertical="center" wrapText="1"/>
      <protection locked="0"/>
    </xf>
    <xf numFmtId="0" fontId="5" fillId="40" borderId="0" xfId="0" applyFont="1" applyFill="1" applyAlignment="1" applyProtection="1">
      <alignment vertical="top" wrapText="1"/>
      <protection locked="0"/>
    </xf>
    <xf numFmtId="0" fontId="0" fillId="40" borderId="0" xfId="0" applyFill="1" applyAlignment="1" applyProtection="1">
      <alignment horizontal="center" vertical="top" wrapText="1"/>
      <protection locked="0"/>
    </xf>
    <xf numFmtId="0" fontId="5" fillId="51" borderId="36" xfId="0" applyFont="1" applyFill="1" applyBorder="1" applyAlignment="1" applyProtection="1">
      <alignment horizontal="center" vertical="center" wrapText="1"/>
      <protection locked="0"/>
    </xf>
    <xf numFmtId="0" fontId="28" fillId="51" borderId="36" xfId="0" applyFont="1" applyFill="1" applyBorder="1" applyAlignment="1" applyProtection="1">
      <alignment horizontal="center" vertical="center" wrapText="1"/>
      <protection locked="0"/>
    </xf>
    <xf numFmtId="0" fontId="3" fillId="43" borderId="0" xfId="0" applyFont="1" applyFill="1" applyAlignment="1" applyProtection="1">
      <alignment horizontal="center" vertical="center"/>
      <protection locked="0"/>
    </xf>
    <xf numFmtId="0" fontId="57" fillId="51" borderId="36" xfId="0" applyFont="1" applyFill="1" applyBorder="1" applyAlignment="1" applyProtection="1">
      <alignment horizontal="center" vertical="center" wrapText="1"/>
      <protection locked="0"/>
    </xf>
    <xf numFmtId="0" fontId="28" fillId="40" borderId="0" xfId="0" applyFont="1" applyFill="1" applyAlignment="1" applyProtection="1">
      <alignment horizontal="left" vertical="top" wrapText="1"/>
      <protection locked="0"/>
    </xf>
    <xf numFmtId="0" fontId="3" fillId="5" borderId="36" xfId="0" applyFont="1" applyFill="1" applyBorder="1" applyAlignment="1" applyProtection="1">
      <alignment horizontal="center" vertical="center" wrapText="1"/>
      <protection locked="0"/>
    </xf>
    <xf numFmtId="0" fontId="0" fillId="51" borderId="41" xfId="0" applyFill="1" applyBorder="1" applyAlignment="1" applyProtection="1">
      <alignment horizontal="center" vertical="center" wrapText="1"/>
      <protection locked="0"/>
    </xf>
    <xf numFmtId="0" fontId="8" fillId="18" borderId="0" xfId="0" applyFont="1" applyFill="1" applyAlignment="1" applyProtection="1">
      <alignment vertical="center" wrapText="1"/>
      <protection locked="0"/>
    </xf>
    <xf numFmtId="0" fontId="3" fillId="0" borderId="0" xfId="0" applyFont="1" applyProtection="1">
      <protection locked="0"/>
    </xf>
    <xf numFmtId="0" fontId="0" fillId="0" borderId="0" xfId="0" applyAlignment="1" applyProtection="1">
      <alignment horizontal="left"/>
      <protection locked="0"/>
    </xf>
    <xf numFmtId="0" fontId="5" fillId="51" borderId="36" xfId="0" applyFont="1" applyFill="1" applyBorder="1" applyAlignment="1">
      <alignment horizontal="center" vertical="center" wrapText="1"/>
    </xf>
    <xf numFmtId="0" fontId="3" fillId="51" borderId="36" xfId="0" applyFont="1" applyFill="1" applyBorder="1" applyAlignment="1">
      <alignment horizontal="center" vertical="top" wrapText="1"/>
    </xf>
    <xf numFmtId="9" fontId="0" fillId="0" borderId="0" xfId="0" applyNumberFormat="1" applyAlignment="1" applyProtection="1">
      <alignment horizontal="center" vertical="center" wrapText="1"/>
      <protection locked="0"/>
    </xf>
    <xf numFmtId="9" fontId="0" fillId="0" borderId="0" xfId="0" applyNumberFormat="1" applyAlignment="1" applyProtection="1">
      <alignment horizontal="center" vertical="top" wrapText="1"/>
      <protection locked="0"/>
    </xf>
    <xf numFmtId="9" fontId="56" fillId="0" borderId="0" xfId="0" applyNumberFormat="1" applyFont="1" applyAlignment="1" applyProtection="1">
      <alignment horizontal="center" vertical="center" wrapText="1"/>
      <protection locked="0"/>
    </xf>
    <xf numFmtId="0" fontId="3" fillId="40" borderId="0" xfId="0" applyFont="1" applyFill="1" applyAlignment="1" applyProtection="1">
      <alignment horizontal="center" vertical="center" wrapText="1"/>
      <protection locked="0"/>
    </xf>
    <xf numFmtId="0" fontId="11" fillId="40" borderId="0" xfId="0" applyFont="1" applyFill="1" applyAlignment="1" applyProtection="1">
      <alignment horizontal="center" vertical="center" wrapText="1"/>
      <protection locked="0"/>
    </xf>
    <xf numFmtId="0" fontId="6" fillId="53" borderId="0" xfId="0" applyFont="1" applyFill="1" applyAlignment="1" applyProtection="1">
      <alignment horizontal="center" vertical="center" wrapText="1"/>
      <protection locked="0"/>
    </xf>
    <xf numFmtId="0" fontId="3" fillId="53" borderId="0" xfId="0" applyFont="1" applyFill="1" applyAlignment="1" applyProtection="1">
      <alignment horizontal="center" vertical="center" wrapText="1"/>
      <protection locked="0"/>
    </xf>
    <xf numFmtId="0" fontId="3" fillId="39" borderId="0" xfId="0" applyFont="1" applyFill="1" applyAlignment="1" applyProtection="1">
      <alignment vertical="center" wrapText="1"/>
      <protection locked="0"/>
    </xf>
    <xf numFmtId="0" fontId="5" fillId="56" borderId="36" xfId="0" applyFont="1" applyFill="1" applyBorder="1" applyAlignment="1">
      <alignment horizontal="center" vertical="center" wrapText="1"/>
    </xf>
    <xf numFmtId="0" fontId="22" fillId="39" borderId="36" xfId="0" applyFont="1" applyFill="1" applyBorder="1" applyAlignment="1" applyProtection="1">
      <alignment horizontal="left" vertical="top" wrapText="1"/>
      <protection locked="0"/>
    </xf>
    <xf numFmtId="0" fontId="22" fillId="39" borderId="36" xfId="0" applyFont="1" applyFill="1" applyBorder="1" applyAlignment="1" applyProtection="1">
      <alignment vertical="top" wrapText="1"/>
      <protection locked="0"/>
    </xf>
    <xf numFmtId="0" fontId="22" fillId="39" borderId="36" xfId="0" applyFont="1" applyFill="1" applyBorder="1" applyAlignment="1" applyProtection="1">
      <alignment horizontal="center" vertical="center" wrapText="1"/>
      <protection locked="0"/>
    </xf>
    <xf numFmtId="0" fontId="3" fillId="5" borderId="36" xfId="0" applyFont="1" applyFill="1" applyBorder="1" applyAlignment="1" applyProtection="1">
      <alignment horizontal="center" vertical="top" wrapText="1"/>
      <protection locked="0"/>
    </xf>
    <xf numFmtId="0" fontId="3" fillId="37" borderId="36" xfId="0" applyFont="1" applyFill="1" applyBorder="1" applyAlignment="1" applyProtection="1">
      <alignment horizontal="center" vertical="center" wrapText="1"/>
      <protection locked="0"/>
    </xf>
    <xf numFmtId="0" fontId="43" fillId="0" borderId="0" xfId="0" applyFont="1" applyAlignment="1" applyProtection="1">
      <alignment vertical="top" wrapText="1"/>
      <protection locked="0"/>
    </xf>
    <xf numFmtId="0" fontId="5" fillId="0" borderId="0" xfId="0" applyFont="1" applyAlignment="1">
      <alignment horizontal="center" vertical="center"/>
    </xf>
    <xf numFmtId="0" fontId="5" fillId="56" borderId="36" xfId="0" applyFont="1" applyFill="1" applyBorder="1" applyAlignment="1">
      <alignment horizontal="center" vertical="center"/>
    </xf>
    <xf numFmtId="1" fontId="5" fillId="56" borderId="36" xfId="0" applyNumberFormat="1" applyFont="1" applyFill="1" applyBorder="1" applyAlignment="1">
      <alignment horizontal="center" vertical="center" wrapText="1"/>
    </xf>
    <xf numFmtId="0" fontId="3" fillId="39" borderId="36" xfId="0" applyFont="1" applyFill="1" applyBorder="1" applyAlignment="1" applyProtection="1">
      <alignment vertical="center" wrapText="1"/>
      <protection locked="0"/>
    </xf>
    <xf numFmtId="0" fontId="5" fillId="39" borderId="36" xfId="0" applyFont="1" applyFill="1" applyBorder="1" applyAlignment="1" applyProtection="1">
      <alignment horizontal="center" vertical="center" wrapText="1"/>
      <protection locked="0"/>
    </xf>
    <xf numFmtId="0" fontId="51" fillId="51" borderId="36" xfId="0" applyFont="1" applyFill="1" applyBorder="1" applyAlignment="1" applyProtection="1">
      <alignment horizontal="center" vertical="center" wrapText="1"/>
      <protection locked="0"/>
    </xf>
    <xf numFmtId="0" fontId="3" fillId="37" borderId="0" xfId="0" applyFont="1" applyFill="1" applyAlignment="1" applyProtection="1">
      <alignment vertical="top" wrapText="1"/>
      <protection locked="0"/>
    </xf>
    <xf numFmtId="0" fontId="3" fillId="43" borderId="0" xfId="0" applyFont="1" applyFill="1" applyAlignment="1">
      <alignment horizontal="center" vertical="center" wrapText="1"/>
    </xf>
    <xf numFmtId="0" fontId="3" fillId="42" borderId="36" xfId="0" applyFont="1" applyFill="1" applyBorder="1" applyAlignment="1">
      <alignment horizontal="center" vertical="center" wrapText="1"/>
    </xf>
    <xf numFmtId="0" fontId="25" fillId="51" borderId="36" xfId="0" applyFont="1" applyFill="1" applyBorder="1" applyAlignment="1">
      <alignment vertical="top" wrapText="1"/>
    </xf>
    <xf numFmtId="0" fontId="3" fillId="56" borderId="36" xfId="0" applyFont="1" applyFill="1" applyBorder="1" applyAlignment="1">
      <alignment horizontal="center" vertical="center" wrapText="1"/>
    </xf>
    <xf numFmtId="0" fontId="22" fillId="56" borderId="36" xfId="0" applyFont="1" applyFill="1" applyBorder="1" applyAlignment="1">
      <alignment horizontal="center" vertical="center" wrapText="1"/>
    </xf>
    <xf numFmtId="0" fontId="3" fillId="49" borderId="0" xfId="0" applyFont="1" applyFill="1" applyAlignment="1" applyProtection="1">
      <alignment vertical="top" wrapText="1"/>
      <protection locked="0"/>
    </xf>
    <xf numFmtId="0" fontId="5" fillId="49" borderId="0" xfId="0" applyFont="1" applyFill="1" applyAlignment="1" applyProtection="1">
      <alignment vertical="top" wrapText="1"/>
      <protection locked="0"/>
    </xf>
    <xf numFmtId="0" fontId="3" fillId="38" borderId="22" xfId="0" applyFont="1" applyFill="1" applyBorder="1" applyAlignment="1" applyProtection="1">
      <alignment horizontal="center" vertical="center" wrapText="1"/>
      <protection locked="0"/>
    </xf>
    <xf numFmtId="0" fontId="3" fillId="36" borderId="0" xfId="0" applyFont="1" applyFill="1" applyAlignment="1" applyProtection="1">
      <alignment vertical="top" wrapText="1"/>
      <protection locked="0"/>
    </xf>
    <xf numFmtId="0" fontId="8" fillId="18" borderId="0" xfId="0" applyFont="1" applyFill="1" applyAlignment="1" applyProtection="1">
      <alignment horizontal="center" vertical="center" wrapText="1"/>
      <protection locked="0"/>
    </xf>
    <xf numFmtId="0" fontId="3" fillId="36" borderId="0" xfId="0" applyFont="1" applyFill="1" applyAlignment="1" applyProtection="1">
      <alignment vertical="center" wrapText="1"/>
      <protection locked="0"/>
    </xf>
    <xf numFmtId="0" fontId="67" fillId="18" borderId="0" xfId="0" applyFont="1" applyFill="1" applyAlignment="1" applyProtection="1">
      <alignment horizontal="left" vertical="center" wrapText="1"/>
      <protection locked="0"/>
    </xf>
    <xf numFmtId="0" fontId="67" fillId="18" borderId="0" xfId="0" applyFont="1" applyFill="1" applyAlignment="1" applyProtection="1">
      <alignment horizontal="center" vertical="center" wrapText="1"/>
      <protection locked="0"/>
    </xf>
    <xf numFmtId="0" fontId="3" fillId="47" borderId="0" xfId="0" applyFont="1" applyFill="1" applyAlignment="1" applyProtection="1">
      <alignment horizontal="center" vertical="center" wrapText="1"/>
      <protection locked="0"/>
    </xf>
    <xf numFmtId="0" fontId="1" fillId="8" borderId="0" xfId="0" applyFont="1" applyFill="1" applyAlignment="1" applyProtection="1">
      <alignment horizontal="left" vertical="top" wrapText="1"/>
      <protection locked="0"/>
    </xf>
    <xf numFmtId="0" fontId="0" fillId="51" borderId="22" xfId="0" applyFill="1" applyBorder="1" applyAlignment="1" applyProtection="1">
      <alignment horizontal="left" vertical="center" wrapText="1"/>
      <protection locked="0"/>
    </xf>
    <xf numFmtId="0" fontId="6" fillId="41" borderId="0" xfId="0" applyFont="1" applyFill="1" applyAlignment="1" applyProtection="1">
      <alignment vertical="top" wrapText="1"/>
      <protection locked="0"/>
    </xf>
    <xf numFmtId="0" fontId="0" fillId="36" borderId="0" xfId="0" applyFill="1" applyAlignment="1" applyProtection="1">
      <alignment vertical="top" wrapText="1"/>
      <protection locked="0"/>
    </xf>
    <xf numFmtId="0" fontId="71" fillId="0" borderId="0" xfId="0" applyFont="1" applyAlignment="1" applyProtection="1">
      <alignment horizontal="center" vertical="center" wrapText="1"/>
      <protection locked="0"/>
    </xf>
    <xf numFmtId="0" fontId="3" fillId="39" borderId="22" xfId="0" applyFont="1" applyFill="1" applyBorder="1" applyAlignment="1">
      <alignment horizontal="left" vertical="center" wrapText="1"/>
    </xf>
    <xf numFmtId="0" fontId="3" fillId="39" borderId="22" xfId="0" applyFont="1" applyFill="1" applyBorder="1" applyAlignment="1">
      <alignment horizontal="center" vertical="center" wrapText="1"/>
    </xf>
    <xf numFmtId="0" fontId="0" fillId="51" borderId="22" xfId="0" applyFill="1" applyBorder="1" applyAlignment="1">
      <alignment vertical="top" wrapText="1"/>
    </xf>
    <xf numFmtId="0" fontId="8" fillId="0" borderId="0" xfId="0" applyFont="1" applyAlignment="1">
      <alignment horizontal="center" vertical="top" wrapText="1"/>
    </xf>
    <xf numFmtId="0" fontId="0" fillId="0" borderId="0" xfId="0" applyAlignment="1">
      <alignment horizontal="center" vertical="center"/>
    </xf>
    <xf numFmtId="0" fontId="3" fillId="42" borderId="1" xfId="0" applyFont="1" applyFill="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11" fillId="53" borderId="0" xfId="0" applyFont="1" applyFill="1" applyAlignment="1" applyProtection="1">
      <alignment horizontal="center" vertical="center" wrapText="1"/>
      <protection locked="0"/>
    </xf>
    <xf numFmtId="0" fontId="48" fillId="40" borderId="0" xfId="0" applyFont="1" applyFill="1" applyAlignment="1" applyProtection="1">
      <alignment horizontal="left" vertical="top" wrapText="1"/>
      <protection locked="0"/>
    </xf>
    <xf numFmtId="0" fontId="0" fillId="50" borderId="1" xfId="0" applyFill="1" applyBorder="1" applyAlignment="1" applyProtection="1">
      <alignment horizontal="center" vertical="center" wrapText="1"/>
      <protection locked="0"/>
    </xf>
    <xf numFmtId="0" fontId="11" fillId="51" borderId="1" xfId="0" applyFont="1" applyFill="1" applyBorder="1" applyAlignment="1" applyProtection="1">
      <alignment horizontal="center" vertical="center" wrapText="1"/>
      <protection locked="0"/>
    </xf>
    <xf numFmtId="10" fontId="0" fillId="50" borderId="1" xfId="0" applyNumberFormat="1" applyFill="1" applyBorder="1" applyAlignment="1" applyProtection="1">
      <alignment horizontal="center" vertical="center" wrapText="1"/>
      <protection locked="0"/>
    </xf>
    <xf numFmtId="9" fontId="0" fillId="50" borderId="1" xfId="0" applyNumberFormat="1" applyFill="1" applyBorder="1" applyAlignment="1" applyProtection="1">
      <alignment horizontal="center" vertical="center" wrapText="1"/>
      <protection locked="0"/>
    </xf>
    <xf numFmtId="0" fontId="3" fillId="39" borderId="0" xfId="0" applyFont="1" applyFill="1" applyAlignment="1" applyProtection="1">
      <alignment horizontal="left" vertical="center" wrapText="1"/>
      <protection locked="0"/>
    </xf>
    <xf numFmtId="0" fontId="3" fillId="41" borderId="0" xfId="0" applyFont="1" applyFill="1" applyAlignment="1" applyProtection="1">
      <alignment vertical="top" wrapText="1"/>
      <protection locked="0"/>
    </xf>
    <xf numFmtId="0" fontId="48" fillId="0" borderId="0" xfId="0" applyFont="1" applyAlignment="1" applyProtection="1">
      <alignment vertical="top"/>
      <protection locked="0"/>
    </xf>
    <xf numFmtId="0" fontId="0" fillId="4" borderId="22" xfId="0" applyFill="1" applyBorder="1" applyAlignment="1">
      <alignment vertical="top" wrapText="1"/>
    </xf>
    <xf numFmtId="165" fontId="0" fillId="0" borderId="22" xfId="0" applyNumberFormat="1" applyBorder="1" applyAlignment="1">
      <alignment vertical="top" wrapText="1"/>
    </xf>
    <xf numFmtId="0" fontId="0" fillId="45" borderId="0" xfId="0" applyFill="1" applyAlignment="1" applyProtection="1">
      <alignment vertical="top"/>
      <protection locked="0"/>
    </xf>
    <xf numFmtId="0" fontId="0" fillId="45" borderId="0" xfId="0" applyFill="1" applyProtection="1">
      <protection locked="0"/>
    </xf>
    <xf numFmtId="0" fontId="3" fillId="45" borderId="0" xfId="0" applyFont="1" applyFill="1" applyAlignment="1" applyProtection="1">
      <alignment vertical="center" wrapText="1"/>
      <protection locked="0"/>
    </xf>
    <xf numFmtId="0" fontId="0" fillId="50" borderId="22" xfId="0" applyFill="1" applyBorder="1" applyAlignment="1" applyProtection="1">
      <alignment vertical="top" wrapText="1"/>
      <protection locked="0"/>
    </xf>
    <xf numFmtId="1" fontId="5" fillId="51" borderId="22" xfId="0" applyNumberFormat="1" applyFont="1" applyFill="1" applyBorder="1" applyAlignment="1" applyProtection="1">
      <alignment horizontal="center" vertical="center" wrapText="1"/>
      <protection locked="0"/>
    </xf>
    <xf numFmtId="0" fontId="53" fillId="51" borderId="22" xfId="0" applyFont="1" applyFill="1" applyBorder="1" applyAlignment="1" applyProtection="1">
      <alignment vertical="top" wrapText="1"/>
      <protection locked="0"/>
    </xf>
    <xf numFmtId="165" fontId="5" fillId="41" borderId="22" xfId="0" applyNumberFormat="1" applyFont="1" applyFill="1" applyBorder="1" applyAlignment="1">
      <alignment horizontal="center" vertical="center" wrapText="1"/>
    </xf>
    <xf numFmtId="0" fontId="5" fillId="51" borderId="0" xfId="0" applyFont="1" applyFill="1" applyAlignment="1" applyProtection="1">
      <alignment horizontal="center" vertical="center" wrapText="1"/>
      <protection locked="0"/>
    </xf>
    <xf numFmtId="0" fontId="53" fillId="51" borderId="0" xfId="0" applyFont="1" applyFill="1" applyAlignment="1" applyProtection="1">
      <alignment vertical="top" wrapText="1"/>
      <protection locked="0"/>
    </xf>
    <xf numFmtId="165" fontId="5" fillId="41" borderId="0" xfId="0" applyNumberFormat="1" applyFont="1" applyFill="1" applyAlignment="1">
      <alignment horizontal="center" vertical="center" wrapText="1"/>
    </xf>
    <xf numFmtId="0" fontId="5" fillId="39" borderId="0" xfId="0" applyFont="1" applyFill="1" applyAlignment="1" applyProtection="1">
      <alignment vertical="top" wrapText="1"/>
      <protection locked="0"/>
    </xf>
    <xf numFmtId="0" fontId="5" fillId="39" borderId="0" xfId="0" applyFont="1" applyFill="1" applyAlignment="1" applyProtection="1">
      <alignment vertical="center" wrapText="1"/>
      <protection locked="0"/>
    </xf>
    <xf numFmtId="0" fontId="3" fillId="0" borderId="22" xfId="0" applyFont="1" applyBorder="1" applyAlignment="1" applyProtection="1">
      <alignment horizontal="center" vertical="center" wrapText="1"/>
      <protection locked="0"/>
    </xf>
    <xf numFmtId="0" fontId="7" fillId="51" borderId="22" xfId="0" applyFont="1" applyFill="1" applyBorder="1" applyAlignment="1">
      <alignment horizontal="center" vertical="center" wrapText="1"/>
    </xf>
    <xf numFmtId="0" fontId="0" fillId="51" borderId="22" xfId="0" applyFill="1" applyBorder="1"/>
    <xf numFmtId="0" fontId="61" fillId="51" borderId="22" xfId="0" applyFont="1" applyFill="1" applyBorder="1" applyAlignment="1">
      <alignment vertical="center"/>
    </xf>
    <xf numFmtId="1" fontId="5" fillId="51" borderId="0" xfId="0" applyNumberFormat="1" applyFont="1" applyFill="1" applyAlignment="1">
      <alignment horizontal="center" vertical="center" wrapText="1"/>
    </xf>
    <xf numFmtId="1" fontId="3" fillId="6" borderId="0" xfId="0" applyNumberFormat="1" applyFont="1" applyFill="1" applyAlignment="1">
      <alignment horizontal="center" vertical="center"/>
    </xf>
    <xf numFmtId="1" fontId="3" fillId="7" borderId="0" xfId="0" applyNumberFormat="1" applyFont="1" applyFill="1" applyAlignment="1">
      <alignment horizontal="center" vertical="center"/>
    </xf>
    <xf numFmtId="1" fontId="0" fillId="39" borderId="0" xfId="0" applyNumberFormat="1" applyFill="1" applyAlignment="1">
      <alignment horizontal="center" vertical="center"/>
    </xf>
    <xf numFmtId="0" fontId="0" fillId="4" borderId="0" xfId="0" applyFill="1" applyAlignment="1">
      <alignment horizontal="center" vertical="center" wrapText="1"/>
    </xf>
    <xf numFmtId="165" fontId="0" fillId="0" borderId="0" xfId="0" applyNumberFormat="1" applyProtection="1">
      <protection locked="0"/>
    </xf>
    <xf numFmtId="0" fontId="0" fillId="38" borderId="0" xfId="0" applyFill="1" applyAlignment="1" applyProtection="1">
      <alignment vertical="top" wrapText="1"/>
      <protection locked="0"/>
    </xf>
    <xf numFmtId="0" fontId="11" fillId="41" borderId="0" xfId="0" applyFont="1" applyFill="1" applyAlignment="1" applyProtection="1">
      <alignment horizontal="center" vertical="center" wrapText="1"/>
      <protection locked="0"/>
    </xf>
    <xf numFmtId="0" fontId="6" fillId="40" borderId="0" xfId="0" applyFont="1" applyFill="1" applyAlignment="1" applyProtection="1">
      <alignment vertical="top" wrapText="1"/>
      <protection locked="0"/>
    </xf>
    <xf numFmtId="0" fontId="3" fillId="42" borderId="1" xfId="0" applyFont="1" applyFill="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28" fillId="0" borderId="1" xfId="0" applyFont="1" applyBorder="1" applyAlignment="1">
      <alignment horizontal="center" vertical="center" wrapText="1"/>
    </xf>
    <xf numFmtId="0" fontId="5" fillId="39" borderId="17" xfId="0" applyFont="1" applyFill="1" applyBorder="1" applyAlignment="1" applyProtection="1">
      <alignment horizontal="center" vertical="top" wrapText="1"/>
      <protection locked="0"/>
    </xf>
    <xf numFmtId="0" fontId="5" fillId="39" borderId="17" xfId="0" applyFont="1" applyFill="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5" fillId="49" borderId="0" xfId="0" applyFont="1" applyFill="1" applyAlignment="1" applyProtection="1">
      <alignment vertical="top" wrapText="1"/>
      <protection locked="0"/>
    </xf>
    <xf numFmtId="0" fontId="43" fillId="53" borderId="0" xfId="0" applyFont="1" applyFill="1" applyAlignment="1" applyProtection="1">
      <alignment horizontal="left" vertical="top" wrapText="1"/>
      <protection locked="0"/>
    </xf>
    <xf numFmtId="0" fontId="0" fillId="40" borderId="0" xfId="0" applyFill="1" applyAlignment="1">
      <alignment horizontal="center" vertical="center"/>
    </xf>
    <xf numFmtId="0" fontId="6" fillId="0" borderId="0" xfId="0" applyFont="1" applyAlignment="1" applyProtection="1">
      <alignment vertical="top" wrapText="1"/>
      <protection locked="0"/>
    </xf>
    <xf numFmtId="0" fontId="1" fillId="8" borderId="0" xfId="0" applyFont="1" applyFill="1" applyAlignment="1" applyProtection="1">
      <alignment horizontal="left" vertical="top" wrapText="1"/>
      <protection locked="0"/>
    </xf>
    <xf numFmtId="0" fontId="13" fillId="0" borderId="2" xfId="0" applyFont="1" applyBorder="1" applyAlignment="1" applyProtection="1">
      <alignment horizontal="left" vertical="top" wrapText="1"/>
      <protection locked="0"/>
    </xf>
    <xf numFmtId="0" fontId="20" fillId="0" borderId="6" xfId="0" applyFont="1" applyBorder="1" applyAlignment="1" applyProtection="1">
      <alignment horizontal="left" vertical="top" wrapText="1"/>
      <protection locked="0"/>
    </xf>
    <xf numFmtId="0" fontId="20" fillId="0" borderId="3" xfId="0" applyFont="1" applyBorder="1" applyAlignment="1" applyProtection="1">
      <alignment horizontal="left" vertical="top" wrapText="1"/>
      <protection locked="0"/>
    </xf>
    <xf numFmtId="0" fontId="0" fillId="51" borderId="0" xfId="0" applyFill="1" applyAlignment="1" applyProtection="1">
      <alignment horizontal="left" vertical="center"/>
      <protection locked="0"/>
    </xf>
    <xf numFmtId="0" fontId="3" fillId="36" borderId="0" xfId="0" applyFont="1" applyFill="1" applyAlignment="1" applyProtection="1">
      <alignment vertical="top" wrapText="1"/>
      <protection locked="0"/>
    </xf>
    <xf numFmtId="0" fontId="0" fillId="0" borderId="0" xfId="0" applyAlignment="1" applyProtection="1">
      <alignment vertical="top" wrapText="1"/>
      <protection locked="0"/>
    </xf>
    <xf numFmtId="0" fontId="8" fillId="18" borderId="0" xfId="0" applyFont="1" applyFill="1" applyAlignment="1" applyProtection="1">
      <alignment vertical="top" wrapText="1"/>
      <protection locked="0"/>
    </xf>
    <xf numFmtId="0" fontId="3" fillId="42" borderId="2" xfId="0" applyFont="1" applyFill="1" applyBorder="1" applyAlignment="1" applyProtection="1">
      <alignment horizontal="center" vertical="center" wrapText="1"/>
      <protection locked="0"/>
    </xf>
    <xf numFmtId="0" fontId="3" fillId="42" borderId="6" xfId="0" applyFont="1" applyFill="1" applyBorder="1" applyAlignment="1" applyProtection="1">
      <alignment horizontal="center" vertical="center" wrapText="1"/>
      <protection locked="0"/>
    </xf>
    <xf numFmtId="0" fontId="3" fillId="42" borderId="3" xfId="0" applyFont="1" applyFill="1" applyBorder="1" applyAlignment="1" applyProtection="1">
      <alignment horizontal="center" vertical="center" wrapText="1"/>
      <protection locked="0"/>
    </xf>
    <xf numFmtId="1" fontId="0" fillId="4" borderId="0" xfId="0" applyNumberFormat="1" applyFill="1" applyAlignment="1">
      <alignment horizontal="center" vertical="center"/>
    </xf>
    <xf numFmtId="0" fontId="3" fillId="3" borderId="0" xfId="0" applyFont="1" applyFill="1" applyAlignment="1">
      <alignment vertical="center"/>
    </xf>
    <xf numFmtId="0" fontId="0" fillId="4" borderId="0" xfId="0" applyFill="1" applyAlignment="1">
      <alignment horizontal="center" vertical="center"/>
    </xf>
    <xf numFmtId="0" fontId="0" fillId="4" borderId="0" xfId="0" applyFill="1"/>
    <xf numFmtId="0" fontId="3" fillId="3" borderId="0" xfId="0" applyFont="1" applyFill="1" applyAlignment="1">
      <alignment horizontal="left" vertical="center"/>
    </xf>
    <xf numFmtId="0" fontId="2" fillId="2" borderId="0" xfId="0" applyFont="1" applyFill="1" applyAlignment="1">
      <alignment horizontal="center"/>
    </xf>
    <xf numFmtId="164" fontId="0" fillId="4" borderId="0" xfId="0" applyNumberFormat="1" applyFill="1" applyAlignment="1">
      <alignment horizontal="center" vertical="center"/>
    </xf>
    <xf numFmtId="0" fontId="3" fillId="3" borderId="0" xfId="0" applyFont="1" applyFill="1" applyAlignment="1">
      <alignment horizontal="left" vertical="center" wrapText="1"/>
    </xf>
    <xf numFmtId="0" fontId="16" fillId="28" borderId="0" xfId="0" applyFont="1" applyFill="1" applyAlignment="1">
      <alignment horizontal="center" vertical="center"/>
    </xf>
    <xf numFmtId="0" fontId="0" fillId="19" borderId="0" xfId="0" applyFill="1" applyAlignment="1">
      <alignment horizontal="center" vertical="center"/>
    </xf>
    <xf numFmtId="1" fontId="0" fillId="4" borderId="0" xfId="0" applyNumberFormat="1" applyFill="1" applyAlignment="1">
      <alignment horizontal="center"/>
    </xf>
    <xf numFmtId="0" fontId="33" fillId="46" borderId="0" xfId="0" applyFont="1" applyFill="1" applyAlignment="1">
      <alignment horizontal="center"/>
    </xf>
    <xf numFmtId="0" fontId="3" fillId="40" borderId="0" xfId="0" applyFont="1" applyFill="1" applyAlignment="1">
      <alignment horizontal="center" vertical="center"/>
    </xf>
    <xf numFmtId="0" fontId="4" fillId="2" borderId="0" xfId="0" applyFont="1" applyFill="1" applyAlignment="1">
      <alignment horizontal="center"/>
    </xf>
    <xf numFmtId="0" fontId="3" fillId="6" borderId="0" xfId="0" applyFont="1" applyFill="1"/>
    <xf numFmtId="0" fontId="43" fillId="53" borderId="0" xfId="0" applyFont="1" applyFill="1" applyAlignment="1">
      <alignment horizontal="center" vertical="top" wrapText="1"/>
    </xf>
    <xf numFmtId="0" fontId="3" fillId="7" borderId="0" xfId="0" applyFont="1" applyFill="1" applyAlignment="1">
      <alignment horizontal="right"/>
    </xf>
    <xf numFmtId="0" fontId="0" fillId="0" borderId="0" xfId="0" applyAlignment="1" applyProtection="1">
      <alignment horizontal="left" vertical="top" wrapText="1"/>
      <protection locked="0"/>
    </xf>
    <xf numFmtId="0" fontId="0" fillId="4" borderId="0" xfId="0" applyFill="1" applyAlignment="1" applyProtection="1">
      <alignment vertical="top" wrapText="1"/>
      <protection locked="0"/>
    </xf>
    <xf numFmtId="0" fontId="3" fillId="49" borderId="0" xfId="0" applyFont="1" applyFill="1" applyAlignment="1" applyProtection="1">
      <alignment vertical="top" wrapText="1"/>
      <protection locked="0"/>
    </xf>
    <xf numFmtId="0" fontId="8" fillId="20" borderId="0" xfId="0" applyFont="1" applyFill="1" applyAlignment="1" applyProtection="1">
      <alignment horizontal="center" vertical="center" wrapText="1"/>
      <protection locked="0"/>
    </xf>
    <xf numFmtId="0" fontId="8" fillId="20" borderId="0" xfId="0" applyFont="1" applyFill="1" applyAlignment="1">
      <alignment horizontal="center" vertical="center" wrapText="1"/>
    </xf>
    <xf numFmtId="0" fontId="3" fillId="45" borderId="11" xfId="0" applyFont="1" applyFill="1" applyBorder="1" applyAlignment="1" applyProtection="1">
      <alignment horizontal="left" vertical="top" wrapText="1"/>
      <protection locked="0"/>
    </xf>
    <xf numFmtId="0" fontId="3" fillId="24" borderId="0" xfId="0" applyFont="1" applyFill="1" applyAlignment="1" applyProtection="1">
      <alignment vertical="top" wrapText="1"/>
      <protection locked="0"/>
    </xf>
    <xf numFmtId="0" fontId="3" fillId="0" borderId="0" xfId="0" applyFont="1" applyAlignment="1" applyProtection="1">
      <alignment horizontal="left" vertical="center" wrapText="1"/>
      <protection locked="0"/>
    </xf>
    <xf numFmtId="0" fontId="64" fillId="0" borderId="0" xfId="0" applyFont="1" applyAlignment="1" applyProtection="1">
      <alignment horizontal="left" vertical="top" wrapText="1"/>
      <protection locked="0"/>
    </xf>
    <xf numFmtId="0" fontId="66" fillId="0" borderId="0" xfId="0" applyFont="1" applyAlignment="1" applyProtection="1">
      <alignment horizontal="left" vertical="top" wrapText="1"/>
      <protection locked="0"/>
    </xf>
    <xf numFmtId="0" fontId="0" fillId="0" borderId="0" xfId="0" applyAlignment="1" applyProtection="1">
      <alignment horizontal="left" vertical="center" wrapText="1"/>
      <protection locked="0"/>
    </xf>
    <xf numFmtId="0" fontId="43" fillId="53" borderId="0" xfId="0" applyFont="1" applyFill="1" applyAlignment="1" applyProtection="1">
      <alignment vertical="top" wrapText="1"/>
      <protection locked="0"/>
    </xf>
    <xf numFmtId="0" fontId="6" fillId="41" borderId="0" xfId="0" applyFont="1" applyFill="1" applyAlignment="1" applyProtection="1">
      <alignment horizontal="left" vertical="center" wrapText="1"/>
      <protection locked="0"/>
    </xf>
    <xf numFmtId="0" fontId="0" fillId="51" borderId="0" xfId="0" applyFill="1" applyAlignment="1" applyProtection="1">
      <alignment horizontal="left" vertical="top" wrapText="1"/>
      <protection locked="0"/>
    </xf>
    <xf numFmtId="0" fontId="18" fillId="34" borderId="0" xfId="0" applyFont="1" applyFill="1" applyAlignment="1" applyProtection="1">
      <alignment horizontal="center" vertical="top" wrapText="1"/>
      <protection locked="0"/>
    </xf>
    <xf numFmtId="0" fontId="18" fillId="0" borderId="0" xfId="0" applyFont="1" applyAlignment="1" applyProtection="1">
      <alignment horizontal="center" vertical="top" wrapText="1"/>
      <protection locked="0"/>
    </xf>
    <xf numFmtId="0" fontId="3" fillId="33" borderId="0" xfId="0" applyFont="1" applyFill="1" applyAlignment="1" applyProtection="1">
      <alignment horizontal="left" vertical="top" wrapText="1"/>
      <protection locked="0"/>
    </xf>
    <xf numFmtId="0" fontId="33" fillId="48" borderId="0" xfId="0" applyFont="1" applyFill="1" applyAlignment="1" applyProtection="1">
      <alignment horizontal="center" vertical="top" wrapText="1"/>
      <protection locked="0"/>
    </xf>
    <xf numFmtId="0" fontId="0" fillId="0" borderId="0" xfId="0" applyAlignment="1">
      <alignment horizontal="center" vertical="center" wrapText="1"/>
    </xf>
    <xf numFmtId="0" fontId="0" fillId="15" borderId="0" xfId="0" applyFill="1" applyAlignment="1" applyProtection="1">
      <alignment horizontal="center" vertical="top" wrapText="1"/>
      <protection locked="0"/>
    </xf>
    <xf numFmtId="0" fontId="0" fillId="0" borderId="0" xfId="0" applyAlignment="1">
      <alignment horizontal="center" vertical="top" wrapText="1"/>
    </xf>
    <xf numFmtId="0" fontId="3" fillId="0" borderId="0" xfId="0" applyFont="1" applyAlignment="1" applyProtection="1">
      <alignment horizontal="left" vertical="top" wrapText="1"/>
      <protection locked="0"/>
    </xf>
    <xf numFmtId="0" fontId="3" fillId="16" borderId="0" xfId="0" applyFont="1" applyFill="1" applyAlignment="1" applyProtection="1">
      <alignment vertical="top" wrapText="1"/>
      <protection locked="0"/>
    </xf>
    <xf numFmtId="0" fontId="43" fillId="0" borderId="0" xfId="0" applyFont="1" applyAlignment="1" applyProtection="1">
      <alignment horizontal="left" vertical="top" wrapText="1"/>
      <protection locked="0"/>
    </xf>
    <xf numFmtId="0" fontId="3" fillId="51" borderId="22" xfId="0" applyFont="1" applyFill="1" applyBorder="1" applyAlignment="1" applyProtection="1">
      <alignment horizontal="left" vertical="top" wrapText="1"/>
      <protection locked="0"/>
    </xf>
    <xf numFmtId="0" fontId="0" fillId="0" borderId="0" xfId="0" applyAlignment="1" applyProtection="1">
      <alignment horizontal="center" vertical="center" wrapText="1"/>
      <protection locked="0"/>
    </xf>
    <xf numFmtId="0" fontId="0" fillId="41" borderId="25" xfId="0" applyFill="1" applyBorder="1" applyAlignment="1" applyProtection="1">
      <alignment horizontal="center"/>
      <protection locked="0"/>
    </xf>
    <xf numFmtId="0" fontId="0" fillId="41" borderId="26" xfId="0" applyFill="1" applyBorder="1" applyAlignment="1" applyProtection="1">
      <alignment horizontal="center"/>
      <protection locked="0"/>
    </xf>
    <xf numFmtId="0" fontId="0" fillId="41" borderId="23" xfId="0" applyFill="1" applyBorder="1" applyAlignment="1" applyProtection="1">
      <alignment horizontal="center"/>
      <protection locked="0"/>
    </xf>
    <xf numFmtId="0" fontId="45" fillId="0" borderId="28" xfId="0" applyFont="1" applyBorder="1" applyAlignment="1" applyProtection="1">
      <alignment horizontal="left" vertical="top" wrapText="1"/>
      <protection locked="0"/>
    </xf>
    <xf numFmtId="0" fontId="0" fillId="0" borderId="22" xfId="0" applyBorder="1" applyAlignment="1">
      <alignment horizontal="center" vertical="center" wrapText="1"/>
    </xf>
    <xf numFmtId="0" fontId="3" fillId="36" borderId="22" xfId="0" applyFont="1" applyFill="1" applyBorder="1" applyAlignment="1" applyProtection="1">
      <alignment horizontal="right" vertical="top" wrapText="1"/>
      <protection locked="0"/>
    </xf>
    <xf numFmtId="0" fontId="3" fillId="5" borderId="0" xfId="0" applyFont="1" applyFill="1" applyAlignment="1" applyProtection="1">
      <alignment vertical="top" wrapText="1"/>
      <protection locked="0"/>
    </xf>
    <xf numFmtId="0" fontId="36" fillId="0" borderId="0" xfId="0" applyFont="1" applyAlignment="1" applyProtection="1">
      <alignment horizontal="center" vertical="top" wrapText="1"/>
      <protection locked="0"/>
    </xf>
    <xf numFmtId="0" fontId="45" fillId="0" borderId="0" xfId="0" applyFont="1" applyAlignment="1" applyProtection="1">
      <alignment horizontal="left" vertical="top" wrapText="1"/>
      <protection locked="0"/>
    </xf>
    <xf numFmtId="0" fontId="0" fillId="0" borderId="22" xfId="0" applyBorder="1" applyAlignment="1" applyProtection="1">
      <alignment horizontal="center" vertical="center" wrapText="1"/>
      <protection locked="0"/>
    </xf>
    <xf numFmtId="0" fontId="1" fillId="22" borderId="0" xfId="0" applyFont="1" applyFill="1" applyAlignment="1" applyProtection="1">
      <alignment horizontal="center" vertical="center" wrapText="1"/>
      <protection locked="0"/>
    </xf>
    <xf numFmtId="0" fontId="1" fillId="40"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10" fillId="21" borderId="0" xfId="0" applyFont="1" applyFill="1" applyAlignment="1">
      <alignment horizontal="center" vertical="center" wrapText="1"/>
    </xf>
    <xf numFmtId="0" fontId="0" fillId="0" borderId="9" xfId="0" applyBorder="1" applyAlignment="1" applyProtection="1">
      <alignment horizontal="center" vertical="top" wrapText="1"/>
      <protection locked="0"/>
    </xf>
    <xf numFmtId="0" fontId="1" fillId="8" borderId="0" xfId="0" applyFont="1" applyFill="1" applyAlignment="1" applyProtection="1">
      <alignment horizontal="center" vertical="center" wrapText="1"/>
      <protection locked="0"/>
    </xf>
    <xf numFmtId="0" fontId="0" fillId="51" borderId="0" xfId="0" applyFill="1" applyAlignment="1" applyProtection="1">
      <alignment horizontal="left" vertical="center" wrapText="1"/>
      <protection locked="0"/>
    </xf>
    <xf numFmtId="0" fontId="43" fillId="53" borderId="0" xfId="0" applyFont="1" applyFill="1" applyAlignment="1" applyProtection="1">
      <alignment horizontal="left" vertical="center" wrapText="1"/>
      <protection locked="0"/>
    </xf>
    <xf numFmtId="0" fontId="43" fillId="53" borderId="14" xfId="0" applyFont="1" applyFill="1" applyBorder="1" applyAlignment="1" applyProtection="1">
      <alignment horizontal="left" vertical="center" wrapText="1"/>
      <protection locked="0"/>
    </xf>
    <xf numFmtId="0" fontId="6" fillId="41" borderId="0" xfId="0" applyFont="1" applyFill="1" applyAlignment="1" applyProtection="1">
      <alignment vertical="top" wrapText="1"/>
      <protection locked="0"/>
    </xf>
    <xf numFmtId="0" fontId="3" fillId="20" borderId="22" xfId="0" applyFont="1" applyFill="1" applyBorder="1" applyAlignment="1" applyProtection="1">
      <alignment horizontal="center" wrapText="1"/>
      <protection locked="0"/>
    </xf>
    <xf numFmtId="0" fontId="3" fillId="45" borderId="1" xfId="0" applyFont="1" applyFill="1" applyBorder="1" applyAlignment="1" applyProtection="1">
      <alignment horizontal="left" vertical="top" wrapText="1"/>
      <protection locked="0"/>
    </xf>
    <xf numFmtId="0" fontId="0" fillId="51" borderId="22" xfId="0" applyFill="1" applyBorder="1" applyAlignment="1" applyProtection="1">
      <alignment horizontal="left" vertical="center" wrapText="1"/>
      <protection locked="0"/>
    </xf>
    <xf numFmtId="0" fontId="3" fillId="20" borderId="22" xfId="0" applyFont="1" applyFill="1" applyBorder="1" applyAlignment="1" applyProtection="1">
      <alignment horizontal="center" vertical="center" wrapText="1"/>
      <protection locked="0"/>
    </xf>
    <xf numFmtId="0" fontId="1" fillId="8" borderId="0" xfId="0" applyFont="1" applyFill="1" applyAlignment="1" applyProtection="1">
      <alignment horizontal="left" vertical="center" wrapText="1"/>
      <protection locked="0"/>
    </xf>
    <xf numFmtId="0" fontId="0" fillId="38" borderId="0" xfId="0" applyFill="1" applyAlignment="1" applyProtection="1">
      <alignment horizontal="center" vertical="center" wrapText="1"/>
      <protection locked="0"/>
    </xf>
    <xf numFmtId="0" fontId="0" fillId="0" borderId="0" xfId="0" applyAlignment="1" applyProtection="1">
      <alignment horizontal="center"/>
      <protection locked="0"/>
    </xf>
    <xf numFmtId="0" fontId="3" fillId="5" borderId="29" xfId="0" applyFont="1" applyFill="1" applyBorder="1" applyAlignment="1" applyProtection="1">
      <alignment horizontal="left" vertical="top" wrapText="1"/>
      <protection locked="0"/>
    </xf>
    <xf numFmtId="0" fontId="49" fillId="52" borderId="0" xfId="0" applyFont="1" applyFill="1" applyAlignment="1" applyProtection="1">
      <alignment horizontal="center" vertical="top" wrapText="1"/>
      <protection locked="0"/>
    </xf>
    <xf numFmtId="0" fontId="6" fillId="51" borderId="22" xfId="0" applyFont="1" applyFill="1" applyBorder="1" applyAlignment="1" applyProtection="1">
      <alignment horizontal="left" vertical="center" wrapText="1"/>
      <protection locked="0"/>
    </xf>
    <xf numFmtId="0" fontId="3" fillId="47" borderId="0" xfId="0" applyFont="1" applyFill="1" applyAlignment="1" applyProtection="1">
      <alignment horizontal="center" vertical="top" wrapText="1"/>
      <protection locked="0"/>
    </xf>
    <xf numFmtId="0" fontId="0" fillId="51" borderId="22" xfId="0" applyFill="1" applyBorder="1" applyAlignment="1" applyProtection="1">
      <alignment horizontal="center"/>
      <protection locked="0"/>
    </xf>
    <xf numFmtId="0" fontId="1" fillId="22" borderId="0" xfId="0" applyFont="1" applyFill="1" applyAlignment="1" applyProtection="1">
      <alignment horizontal="left" vertical="center" wrapText="1"/>
      <protection locked="0"/>
    </xf>
    <xf numFmtId="0" fontId="3" fillId="20" borderId="22" xfId="0" applyFont="1" applyFill="1" applyBorder="1" applyAlignment="1" applyProtection="1">
      <alignment horizontal="left" wrapText="1"/>
      <protection locked="0"/>
    </xf>
    <xf numFmtId="0" fontId="3" fillId="16" borderId="0" xfId="0" applyFont="1" applyFill="1" applyAlignment="1" applyProtection="1">
      <alignment horizontal="left" vertical="top" wrapText="1"/>
      <protection locked="0"/>
    </xf>
    <xf numFmtId="0" fontId="0" fillId="51" borderId="22" xfId="0" applyFill="1" applyBorder="1" applyAlignment="1" applyProtection="1">
      <alignment horizontal="center" vertical="center" wrapText="1"/>
      <protection locked="0"/>
    </xf>
    <xf numFmtId="0" fontId="7" fillId="51" borderId="22" xfId="0" applyFont="1" applyFill="1" applyBorder="1" applyAlignment="1" applyProtection="1">
      <alignment horizontal="center" vertical="center" wrapText="1"/>
      <protection locked="0"/>
    </xf>
    <xf numFmtId="0" fontId="0" fillId="51" borderId="22" xfId="0" applyFill="1" applyBorder="1" applyAlignment="1" applyProtection="1">
      <alignment horizontal="left" vertical="top" wrapText="1"/>
      <protection locked="0"/>
    </xf>
    <xf numFmtId="0" fontId="0" fillId="51" borderId="22" xfId="0" applyFill="1" applyBorder="1" applyAlignment="1" applyProtection="1">
      <alignment horizontal="left"/>
      <protection locked="0"/>
    </xf>
    <xf numFmtId="0" fontId="43" fillId="51" borderId="22" xfId="0" applyFont="1" applyFill="1" applyBorder="1" applyAlignment="1" applyProtection="1">
      <alignment horizontal="left" vertical="center" wrapText="1"/>
      <protection locked="0"/>
    </xf>
    <xf numFmtId="0" fontId="3" fillId="5" borderId="1" xfId="0" applyFont="1" applyFill="1" applyBorder="1" applyAlignment="1" applyProtection="1">
      <alignment horizontal="center" vertical="top" wrapText="1"/>
      <protection locked="0"/>
    </xf>
    <xf numFmtId="0" fontId="3" fillId="5" borderId="1" xfId="0" applyFont="1" applyFill="1" applyBorder="1" applyAlignment="1" applyProtection="1">
      <alignment horizontal="center" vertical="center" wrapText="1"/>
      <protection locked="0"/>
    </xf>
    <xf numFmtId="0" fontId="3" fillId="5" borderId="4" xfId="0" applyFont="1" applyFill="1" applyBorder="1" applyAlignment="1" applyProtection="1">
      <alignment horizontal="center" vertical="center" wrapText="1"/>
      <protection locked="0"/>
    </xf>
    <xf numFmtId="0" fontId="5" fillId="9" borderId="1" xfId="0" applyFont="1" applyFill="1" applyBorder="1" applyAlignment="1" applyProtection="1">
      <alignment horizontal="center" vertical="center" wrapText="1"/>
      <protection locked="0"/>
    </xf>
    <xf numFmtId="0" fontId="5" fillId="9" borderId="4" xfId="0" applyFont="1" applyFill="1" applyBorder="1" applyAlignment="1" applyProtection="1">
      <alignment horizontal="center" vertical="center" wrapText="1"/>
      <protection locked="0"/>
    </xf>
    <xf numFmtId="0" fontId="3" fillId="49" borderId="6" xfId="0" applyFont="1" applyFill="1" applyBorder="1" applyAlignment="1" applyProtection="1">
      <alignment horizontal="left" vertical="top" wrapText="1"/>
      <protection locked="0"/>
    </xf>
    <xf numFmtId="0" fontId="0" fillId="0" borderId="0" xfId="0" applyAlignment="1" applyProtection="1">
      <alignment horizontal="center" vertical="top" wrapText="1"/>
      <protection locked="0"/>
    </xf>
    <xf numFmtId="0" fontId="5" fillId="9" borderId="13" xfId="0" applyFont="1" applyFill="1" applyBorder="1" applyAlignment="1" applyProtection="1">
      <alignment horizontal="center" vertical="center" wrapText="1"/>
      <protection locked="0"/>
    </xf>
    <xf numFmtId="0" fontId="3" fillId="51" borderId="22" xfId="0" applyFont="1" applyFill="1" applyBorder="1" applyAlignment="1" applyProtection="1">
      <alignment horizontal="center" vertical="center" wrapText="1"/>
      <protection locked="0"/>
    </xf>
    <xf numFmtId="0" fontId="8" fillId="10" borderId="0" xfId="0" applyFont="1" applyFill="1" applyAlignment="1" applyProtection="1">
      <alignment horizontal="center" vertical="center" wrapText="1"/>
      <protection locked="0"/>
    </xf>
    <xf numFmtId="0" fontId="8" fillId="10" borderId="0" xfId="0" applyFont="1" applyFill="1" applyAlignment="1">
      <alignment horizontal="center" vertical="center" wrapText="1"/>
    </xf>
    <xf numFmtId="0" fontId="18" fillId="30" borderId="0" xfId="0" applyFont="1" applyFill="1" applyAlignment="1" applyProtection="1">
      <alignment horizontal="center" vertical="center" wrapText="1"/>
      <protection locked="0"/>
    </xf>
    <xf numFmtId="0" fontId="16" fillId="41" borderId="0" xfId="0" applyFont="1" applyFill="1" applyAlignment="1" applyProtection="1">
      <alignment vertical="center" wrapText="1"/>
      <protection locked="0"/>
    </xf>
    <xf numFmtId="0" fontId="3" fillId="20" borderId="0" xfId="0" applyFont="1" applyFill="1" applyAlignment="1" applyProtection="1">
      <alignment horizontal="center" vertical="center" wrapText="1"/>
      <protection locked="0"/>
    </xf>
    <xf numFmtId="0" fontId="0" fillId="0" borderId="0" xfId="0" applyAlignment="1" applyProtection="1">
      <alignment vertical="center" wrapText="1"/>
      <protection locked="0"/>
    </xf>
    <xf numFmtId="0" fontId="0" fillId="22" borderId="0" xfId="0" applyFill="1" applyAlignment="1" applyProtection="1">
      <alignment vertical="center" wrapText="1"/>
      <protection locked="0"/>
    </xf>
    <xf numFmtId="0" fontId="0" fillId="7" borderId="22" xfId="0" applyFill="1" applyBorder="1" applyAlignment="1">
      <alignment horizontal="center" vertical="center" wrapText="1"/>
    </xf>
    <xf numFmtId="0" fontId="3" fillId="41" borderId="0" xfId="0" applyFont="1" applyFill="1" applyAlignment="1" applyProtection="1">
      <alignment horizontal="left" vertical="center" wrapText="1"/>
      <protection locked="0"/>
    </xf>
    <xf numFmtId="0" fontId="3" fillId="26" borderId="0" xfId="0" applyFont="1" applyFill="1" applyAlignment="1" applyProtection="1">
      <alignment horizontal="center" vertical="center" wrapText="1"/>
      <protection locked="0"/>
    </xf>
    <xf numFmtId="0" fontId="6" fillId="0" borderId="0" xfId="0" applyFont="1" applyAlignment="1" applyProtection="1">
      <alignment horizontal="left" vertical="top" wrapText="1"/>
      <protection locked="0"/>
    </xf>
    <xf numFmtId="0" fontId="13" fillId="43" borderId="4" xfId="0" applyFont="1" applyFill="1" applyBorder="1" applyAlignment="1" applyProtection="1">
      <alignment horizontal="center" vertical="center" wrapText="1"/>
      <protection locked="0"/>
    </xf>
    <xf numFmtId="0" fontId="22" fillId="0" borderId="4" xfId="0" applyFont="1" applyBorder="1" applyAlignment="1" applyProtection="1">
      <alignment horizontal="center" vertical="center" wrapText="1"/>
      <protection locked="0"/>
    </xf>
    <xf numFmtId="0" fontId="22" fillId="0" borderId="1" xfId="0" applyFont="1" applyBorder="1" applyAlignment="1" applyProtection="1">
      <alignment horizontal="center" vertical="center" wrapText="1"/>
      <protection locked="0"/>
    </xf>
    <xf numFmtId="0" fontId="8" fillId="41" borderId="0" xfId="0" applyFont="1" applyFill="1" applyAlignment="1" applyProtection="1">
      <alignment vertical="center" wrapText="1"/>
      <protection locked="0"/>
    </xf>
    <xf numFmtId="0" fontId="3" fillId="38" borderId="0" xfId="0" applyFont="1" applyFill="1" applyAlignment="1" applyProtection="1">
      <alignment horizontal="right" vertical="top" wrapText="1"/>
      <protection locked="0"/>
    </xf>
    <xf numFmtId="0" fontId="7" fillId="40" borderId="0" xfId="0" applyFont="1" applyFill="1" applyAlignment="1" applyProtection="1">
      <alignment horizontal="center" vertical="center" wrapText="1"/>
      <protection locked="0"/>
    </xf>
    <xf numFmtId="0" fontId="13" fillId="0" borderId="1" xfId="0" applyFont="1" applyBorder="1" applyAlignment="1" applyProtection="1">
      <alignment horizontal="left" vertical="top" wrapText="1"/>
      <protection locked="0"/>
    </xf>
    <xf numFmtId="0" fontId="3" fillId="38" borderId="22" xfId="0" applyFont="1" applyFill="1" applyBorder="1" applyAlignment="1" applyProtection="1">
      <alignment horizontal="center" vertical="center"/>
      <protection locked="0"/>
    </xf>
    <xf numFmtId="0" fontId="3" fillId="27" borderId="22" xfId="0" applyFont="1" applyFill="1" applyBorder="1" applyAlignment="1" applyProtection="1">
      <alignment horizontal="center" vertical="center" wrapText="1"/>
      <protection locked="0"/>
    </xf>
    <xf numFmtId="0" fontId="0" fillId="51" borderId="22" xfId="0" applyFill="1" applyBorder="1" applyAlignment="1" applyProtection="1">
      <alignment horizontal="center" vertical="center"/>
      <protection locked="0"/>
    </xf>
    <xf numFmtId="0" fontId="13" fillId="49" borderId="8" xfId="0" applyFont="1" applyFill="1" applyBorder="1" applyAlignment="1" applyProtection="1">
      <alignment horizontal="left" vertical="top" wrapText="1"/>
      <protection locked="0"/>
    </xf>
    <xf numFmtId="0" fontId="69" fillId="52" borderId="0" xfId="0" applyFont="1" applyFill="1" applyAlignment="1" applyProtection="1">
      <alignment horizontal="center" vertical="top" wrapText="1"/>
      <protection locked="0"/>
    </xf>
    <xf numFmtId="0" fontId="3" fillId="40" borderId="0" xfId="0" applyFont="1" applyFill="1" applyAlignment="1" applyProtection="1">
      <alignment horizontal="left" vertical="center" wrapText="1"/>
      <protection locked="0"/>
    </xf>
    <xf numFmtId="0" fontId="22" fillId="39" borderId="22" xfId="0" applyFont="1" applyFill="1" applyBorder="1" applyAlignment="1" applyProtection="1">
      <alignment horizontal="center" vertical="center"/>
      <protection locked="0"/>
    </xf>
    <xf numFmtId="0" fontId="0" fillId="37" borderId="22" xfId="0" applyFill="1" applyBorder="1" applyAlignment="1" applyProtection="1">
      <alignment horizontal="center" vertical="center" wrapText="1"/>
      <protection locked="0"/>
    </xf>
    <xf numFmtId="0" fontId="3" fillId="31" borderId="0" xfId="0" applyFont="1" applyFill="1" applyAlignment="1" applyProtection="1">
      <alignment horizontal="center" vertical="center" wrapText="1"/>
      <protection locked="0"/>
    </xf>
    <xf numFmtId="0" fontId="3" fillId="43" borderId="22" xfId="0" applyFont="1" applyFill="1" applyBorder="1" applyAlignment="1" applyProtection="1">
      <alignment horizontal="right" vertical="center" wrapText="1"/>
      <protection locked="0"/>
    </xf>
    <xf numFmtId="166" fontId="27" fillId="42" borderId="22" xfId="0" applyNumberFormat="1" applyFont="1" applyFill="1" applyBorder="1" applyAlignment="1">
      <alignment horizontal="center" vertical="center" wrapText="1"/>
    </xf>
    <xf numFmtId="0" fontId="0" fillId="41" borderId="22" xfId="0" applyFill="1" applyBorder="1" applyAlignment="1" applyProtection="1">
      <alignment horizontal="center" vertical="center" wrapText="1"/>
      <protection locked="0"/>
    </xf>
    <xf numFmtId="0" fontId="0" fillId="41" borderId="22" xfId="0" applyFill="1" applyBorder="1" applyAlignment="1">
      <alignment horizontal="center" vertical="center" wrapText="1"/>
    </xf>
    <xf numFmtId="0" fontId="0" fillId="40" borderId="22" xfId="0" applyFill="1" applyBorder="1" applyAlignment="1">
      <alignment horizontal="center" vertical="center" wrapText="1"/>
    </xf>
    <xf numFmtId="0" fontId="3" fillId="36" borderId="0" xfId="0" applyFont="1" applyFill="1" applyAlignment="1" applyProtection="1">
      <alignment horizontal="left" vertical="top" wrapText="1"/>
      <protection locked="0"/>
    </xf>
    <xf numFmtId="0" fontId="0" fillId="53" borderId="0" xfId="0" applyFill="1" applyAlignment="1" applyProtection="1">
      <alignment horizontal="center" vertical="center" wrapText="1"/>
      <protection locked="0"/>
    </xf>
    <xf numFmtId="0" fontId="0" fillId="40" borderId="0" xfId="0" applyFill="1" applyAlignment="1">
      <alignment horizontal="center" vertical="center" wrapText="1"/>
    </xf>
    <xf numFmtId="0" fontId="6" fillId="0" borderId="0" xfId="0" applyFont="1" applyAlignment="1" applyProtection="1">
      <alignment horizontal="left" vertical="center" wrapText="1"/>
      <protection locked="0"/>
    </xf>
    <xf numFmtId="0" fontId="0" fillId="39" borderId="22" xfId="0" applyFill="1" applyBorder="1" applyAlignment="1" applyProtection="1">
      <alignment horizontal="left" vertical="center" wrapText="1"/>
      <protection locked="0"/>
    </xf>
    <xf numFmtId="0" fontId="0" fillId="39" borderId="22" xfId="0" applyFill="1" applyBorder="1" applyAlignment="1" applyProtection="1">
      <alignment horizontal="center" vertical="center" wrapText="1"/>
      <protection locked="0"/>
    </xf>
    <xf numFmtId="0" fontId="42" fillId="41" borderId="22" xfId="0" applyFont="1" applyFill="1" applyBorder="1" applyAlignment="1" applyProtection="1">
      <alignment horizontal="center" vertical="center" wrapText="1"/>
      <protection locked="0"/>
    </xf>
    <xf numFmtId="0" fontId="5" fillId="38" borderId="22" xfId="0" applyFont="1" applyFill="1" applyBorder="1" applyAlignment="1">
      <alignment horizontal="center" vertical="center" wrapText="1"/>
    </xf>
    <xf numFmtId="0" fontId="5" fillId="0" borderId="0" xfId="0" applyFont="1" applyAlignment="1" applyProtection="1">
      <alignment horizontal="center" vertical="center" wrapText="1"/>
      <protection locked="0"/>
    </xf>
    <xf numFmtId="0" fontId="3" fillId="0" borderId="9" xfId="0" applyFont="1" applyBorder="1" applyAlignment="1" applyProtection="1">
      <alignment horizontal="left" vertical="center" wrapText="1"/>
      <protection locked="0"/>
    </xf>
    <xf numFmtId="0" fontId="0" fillId="51" borderId="22" xfId="0" applyFill="1" applyBorder="1" applyAlignment="1">
      <alignment horizontal="center" vertical="center"/>
    </xf>
    <xf numFmtId="0" fontId="5" fillId="51" borderId="22" xfId="0" applyFont="1" applyFill="1" applyBorder="1" applyAlignment="1">
      <alignment horizontal="center" vertical="center" wrapText="1"/>
    </xf>
    <xf numFmtId="0" fontId="3" fillId="27" borderId="1" xfId="0" applyFont="1" applyFill="1" applyBorder="1" applyAlignment="1" applyProtection="1">
      <alignment horizontal="center" vertical="center" wrapText="1"/>
      <protection locked="0"/>
    </xf>
    <xf numFmtId="0" fontId="3" fillId="27" borderId="2" xfId="0" applyFont="1" applyFill="1" applyBorder="1" applyAlignment="1" applyProtection="1">
      <alignment horizontal="center" vertical="center" wrapText="1"/>
      <protection locked="0"/>
    </xf>
    <xf numFmtId="0" fontId="3" fillId="27" borderId="3" xfId="0" applyFont="1" applyFill="1" applyBorder="1" applyAlignment="1" applyProtection="1">
      <alignment horizontal="center" vertical="center" wrapText="1"/>
      <protection locked="0"/>
    </xf>
    <xf numFmtId="0" fontId="3" fillId="38" borderId="22" xfId="0" applyFont="1" applyFill="1" applyBorder="1" applyAlignment="1" applyProtection="1">
      <alignment horizontal="center" vertical="center" wrapText="1"/>
      <protection locked="0"/>
    </xf>
    <xf numFmtId="0" fontId="6" fillId="53" borderId="0" xfId="0" applyFont="1" applyFill="1" applyAlignment="1" applyProtection="1">
      <alignment horizontal="left" vertical="center"/>
      <protection locked="0"/>
    </xf>
    <xf numFmtId="0" fontId="13" fillId="0" borderId="1" xfId="0" applyFont="1" applyBorder="1" applyAlignment="1" applyProtection="1">
      <alignment horizontal="center" vertical="top" wrapText="1"/>
      <protection locked="0"/>
    </xf>
    <xf numFmtId="0" fontId="3" fillId="51" borderId="22" xfId="0" applyFont="1" applyFill="1" applyBorder="1" applyAlignment="1" applyProtection="1">
      <alignment horizontal="center" vertical="center"/>
      <protection locked="0"/>
    </xf>
    <xf numFmtId="0" fontId="11" fillId="51" borderId="22" xfId="0" applyFont="1" applyFill="1" applyBorder="1" applyAlignment="1" applyProtection="1">
      <alignment horizontal="center" vertical="center" wrapText="1"/>
      <protection locked="0"/>
    </xf>
    <xf numFmtId="0" fontId="9" fillId="11" borderId="0" xfId="0" applyFont="1" applyFill="1" applyAlignment="1" applyProtection="1">
      <alignment horizontal="center" vertical="center"/>
      <protection locked="0"/>
    </xf>
    <xf numFmtId="0" fontId="13" fillId="40" borderId="0" xfId="0" applyFont="1" applyFill="1" applyAlignment="1" applyProtection="1">
      <alignment horizontal="left" vertical="top" wrapText="1"/>
      <protection locked="0"/>
    </xf>
    <xf numFmtId="0" fontId="46" fillId="30" borderId="12" xfId="0" applyFont="1" applyFill="1" applyBorder="1" applyAlignment="1" applyProtection="1">
      <alignment horizontal="center" vertical="center" wrapText="1"/>
      <protection locked="0"/>
    </xf>
    <xf numFmtId="0" fontId="70" fillId="30" borderId="12" xfId="0" applyFont="1" applyFill="1" applyBorder="1" applyAlignment="1" applyProtection="1">
      <alignment horizontal="center" vertical="center" wrapText="1"/>
      <protection locked="0"/>
    </xf>
    <xf numFmtId="0" fontId="25" fillId="51" borderId="22" xfId="0" applyFont="1" applyFill="1" applyBorder="1" applyAlignment="1" applyProtection="1">
      <alignment horizontal="left" vertical="top" wrapText="1"/>
      <protection locked="0"/>
    </xf>
    <xf numFmtId="0" fontId="5" fillId="40" borderId="0" xfId="0" applyFont="1" applyFill="1" applyAlignment="1" applyProtection="1">
      <alignment horizontal="left" vertical="top" wrapText="1"/>
      <protection locked="0"/>
    </xf>
    <xf numFmtId="0" fontId="3" fillId="38" borderId="0" xfId="0" applyFont="1" applyFill="1" applyAlignment="1" applyProtection="1">
      <alignment horizontal="center" vertical="top" wrapText="1"/>
      <protection locked="0"/>
    </xf>
    <xf numFmtId="0" fontId="25" fillId="51" borderId="0" xfId="0" applyFont="1" applyFill="1" applyAlignment="1" applyProtection="1">
      <alignment horizontal="left" vertical="top" wrapText="1"/>
      <protection locked="0"/>
    </xf>
    <xf numFmtId="0" fontId="0" fillId="51" borderId="22" xfId="0" applyFill="1" applyBorder="1" applyAlignment="1" applyProtection="1">
      <alignment horizontal="left" vertical="center"/>
      <protection locked="0"/>
    </xf>
    <xf numFmtId="0" fontId="0" fillId="0" borderId="9" xfId="0" applyBorder="1" applyAlignment="1" applyProtection="1">
      <alignment horizontal="left" vertical="center" wrapText="1"/>
      <protection locked="0"/>
    </xf>
    <xf numFmtId="0" fontId="13" fillId="43" borderId="1" xfId="0" applyFont="1" applyFill="1" applyBorder="1" applyAlignment="1" applyProtection="1">
      <alignment horizontal="center" vertical="center" wrapText="1"/>
      <protection locked="0"/>
    </xf>
    <xf numFmtId="0" fontId="0" fillId="51" borderId="0" xfId="0" applyFill="1" applyAlignment="1" applyProtection="1">
      <alignment horizontal="center" vertical="center" wrapText="1"/>
      <protection locked="0"/>
    </xf>
    <xf numFmtId="0" fontId="13" fillId="0" borderId="6" xfId="0" applyFont="1" applyBorder="1" applyAlignment="1" applyProtection="1">
      <alignment horizontal="left" vertical="top" wrapText="1"/>
      <protection locked="0"/>
    </xf>
    <xf numFmtId="0" fontId="13" fillId="0" borderId="3" xfId="0" applyFont="1" applyBorder="1" applyAlignment="1" applyProtection="1">
      <alignment horizontal="left" vertical="top" wrapText="1"/>
      <protection locked="0"/>
    </xf>
    <xf numFmtId="0" fontId="0" fillId="51" borderId="22" xfId="0" applyFill="1" applyBorder="1" applyAlignment="1" applyProtection="1">
      <alignment horizontal="center" vertical="top" wrapText="1"/>
      <protection locked="0"/>
    </xf>
    <xf numFmtId="0" fontId="0" fillId="40" borderId="22" xfId="0" applyFill="1" applyBorder="1" applyAlignment="1" applyProtection="1">
      <alignment horizontal="left" vertical="center" wrapText="1"/>
      <protection locked="0"/>
    </xf>
    <xf numFmtId="0" fontId="0" fillId="40" borderId="22" xfId="0" applyFill="1" applyBorder="1" applyAlignment="1" applyProtection="1">
      <alignment horizontal="center" vertical="center" wrapText="1"/>
      <protection locked="0"/>
    </xf>
    <xf numFmtId="0" fontId="0" fillId="0" borderId="0" xfId="0" applyAlignment="1" applyProtection="1">
      <alignment horizontal="center" vertical="center"/>
      <protection locked="0"/>
    </xf>
    <xf numFmtId="0" fontId="3" fillId="32" borderId="0" xfId="0" applyFont="1" applyFill="1" applyAlignment="1">
      <alignment horizontal="center" vertical="top" wrapText="1"/>
    </xf>
    <xf numFmtId="0" fontId="3" fillId="27" borderId="27" xfId="0" applyFont="1" applyFill="1" applyBorder="1" applyAlignment="1" applyProtection="1">
      <alignment horizontal="center" vertical="center" wrapText="1"/>
      <protection locked="0"/>
    </xf>
    <xf numFmtId="0" fontId="3" fillId="0" borderId="0" xfId="0" applyFont="1" applyAlignment="1" applyProtection="1">
      <alignment horizontal="center" vertical="top" wrapText="1"/>
      <protection locked="0"/>
    </xf>
    <xf numFmtId="0" fontId="3" fillId="5" borderId="0" xfId="0" applyFont="1" applyFill="1" applyAlignment="1" applyProtection="1">
      <alignment horizontal="left" vertical="top" wrapText="1"/>
      <protection locked="0"/>
    </xf>
    <xf numFmtId="0" fontId="3" fillId="41" borderId="22" xfId="0" applyFont="1" applyFill="1" applyBorder="1" applyAlignment="1" applyProtection="1">
      <alignment horizontal="center" vertical="center" wrapText="1"/>
      <protection locked="0"/>
    </xf>
    <xf numFmtId="0" fontId="3" fillId="37" borderId="22" xfId="0" applyFont="1" applyFill="1" applyBorder="1" applyAlignment="1" applyProtection="1">
      <alignment horizontal="center" vertical="center" wrapText="1"/>
      <protection locked="0"/>
    </xf>
    <xf numFmtId="0" fontId="3" fillId="43" borderId="24" xfId="0" applyFont="1" applyFill="1" applyBorder="1" applyAlignment="1" applyProtection="1">
      <alignment horizontal="right" vertical="center" wrapText="1"/>
      <protection locked="0"/>
    </xf>
    <xf numFmtId="166" fontId="27" fillId="42" borderId="24" xfId="0" applyNumberFormat="1" applyFont="1" applyFill="1" applyBorder="1" applyAlignment="1">
      <alignment horizontal="center" vertical="center" wrapText="1"/>
    </xf>
    <xf numFmtId="0" fontId="3" fillId="36" borderId="0" xfId="0" applyFont="1" applyFill="1" applyAlignment="1" applyProtection="1">
      <alignment horizontal="left" vertical="center" wrapText="1"/>
      <protection locked="0"/>
    </xf>
    <xf numFmtId="0" fontId="8" fillId="18" borderId="0" xfId="0" applyFont="1" applyFill="1" applyAlignment="1" applyProtection="1">
      <alignment horizontal="center" vertical="center" wrapText="1"/>
      <protection locked="0"/>
    </xf>
    <xf numFmtId="0" fontId="8" fillId="40" borderId="0" xfId="0" applyFont="1" applyFill="1" applyAlignment="1">
      <alignment horizontal="center" vertical="center" wrapText="1"/>
    </xf>
    <xf numFmtId="0" fontId="8" fillId="0" borderId="28"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5" fillId="40" borderId="0" xfId="0" applyFont="1" applyFill="1" applyAlignment="1" applyProtection="1">
      <alignment horizontal="center" vertical="center" wrapText="1"/>
      <protection locked="0"/>
    </xf>
    <xf numFmtId="165" fontId="13" fillId="40" borderId="0" xfId="0" applyNumberFormat="1" applyFont="1" applyFill="1" applyAlignment="1" applyProtection="1">
      <alignment horizontal="center" vertical="center" wrapText="1"/>
      <protection locked="0"/>
    </xf>
    <xf numFmtId="0" fontId="5" fillId="39" borderId="0" xfId="0" applyFont="1" applyFill="1" applyAlignment="1" applyProtection="1">
      <alignment horizontal="center" vertical="center" wrapText="1"/>
      <protection locked="0"/>
    </xf>
    <xf numFmtId="0" fontId="0" fillId="53" borderId="22" xfId="0" applyFill="1" applyBorder="1" applyAlignment="1" applyProtection="1">
      <alignment horizontal="center" vertical="center" wrapText="1"/>
      <protection locked="0"/>
    </xf>
    <xf numFmtId="0" fontId="8" fillId="18" borderId="0" xfId="0" applyFont="1" applyFill="1" applyAlignment="1" applyProtection="1">
      <alignment horizontal="left" vertical="center" wrapText="1"/>
      <protection locked="0"/>
    </xf>
    <xf numFmtId="0" fontId="3" fillId="5" borderId="22" xfId="0" applyFont="1" applyFill="1" applyBorder="1" applyAlignment="1" applyProtection="1">
      <alignment horizontal="center" vertical="center" wrapText="1"/>
      <protection locked="0"/>
    </xf>
    <xf numFmtId="9" fontId="11" fillId="36" borderId="22" xfId="0" applyNumberFormat="1" applyFont="1" applyFill="1" applyBorder="1" applyAlignment="1">
      <alignment horizontal="center" vertical="center" wrapText="1"/>
    </xf>
    <xf numFmtId="0" fontId="5" fillId="51" borderId="22" xfId="0" applyFont="1" applyFill="1" applyBorder="1" applyAlignment="1" applyProtection="1">
      <alignment horizontal="center" vertical="center" wrapText="1"/>
      <protection locked="0"/>
    </xf>
    <xf numFmtId="0" fontId="3" fillId="0" borderId="15" xfId="0" applyFont="1" applyBorder="1" applyAlignment="1" applyProtection="1">
      <alignment horizontal="left" vertical="top"/>
      <protection locked="0"/>
    </xf>
    <xf numFmtId="0" fontId="3" fillId="0" borderId="0" xfId="0" applyFont="1" applyAlignment="1" applyProtection="1">
      <alignment horizontal="left" vertical="top"/>
      <protection locked="0"/>
    </xf>
    <xf numFmtId="0" fontId="25" fillId="0" borderId="0" xfId="1" applyFont="1" applyAlignment="1" applyProtection="1">
      <alignment horizontal="center"/>
      <protection locked="0"/>
    </xf>
    <xf numFmtId="0" fontId="0" fillId="51" borderId="22" xfId="0" applyFill="1" applyBorder="1" applyAlignment="1">
      <alignment horizontal="center" vertical="center" wrapText="1"/>
    </xf>
    <xf numFmtId="0" fontId="3" fillId="39" borderId="22" xfId="0" applyFont="1" applyFill="1" applyBorder="1" applyAlignment="1" applyProtection="1">
      <alignment horizontal="center" vertical="center"/>
      <protection locked="0"/>
    </xf>
    <xf numFmtId="0" fontId="3" fillId="39" borderId="22" xfId="0" applyFont="1" applyFill="1" applyBorder="1" applyAlignment="1" applyProtection="1">
      <alignment horizontal="center" vertical="center" wrapText="1"/>
      <protection locked="0"/>
    </xf>
    <xf numFmtId="0" fontId="5" fillId="5" borderId="0" xfId="0" applyFont="1" applyFill="1" applyAlignment="1" applyProtection="1">
      <alignment vertical="top" wrapText="1"/>
      <protection locked="0"/>
    </xf>
    <xf numFmtId="0" fontId="0" fillId="0" borderId="28" xfId="0" applyBorder="1" applyAlignment="1" applyProtection="1">
      <alignment horizontal="center" vertical="center" wrapText="1"/>
      <protection locked="0"/>
    </xf>
    <xf numFmtId="0" fontId="43" fillId="0" borderId="0" xfId="0" applyFont="1" applyAlignment="1" applyProtection="1">
      <alignment horizontal="left" vertical="center" wrapText="1"/>
      <protection locked="0"/>
    </xf>
    <xf numFmtId="0" fontId="67" fillId="42" borderId="0" xfId="0" applyFont="1" applyFill="1" applyAlignment="1">
      <alignment horizontal="center" vertical="center" wrapText="1"/>
    </xf>
    <xf numFmtId="0" fontId="3" fillId="36" borderId="0" xfId="0" applyFont="1" applyFill="1" applyAlignment="1" applyProtection="1">
      <alignment vertical="center" wrapText="1"/>
      <protection locked="0"/>
    </xf>
    <xf numFmtId="0" fontId="12" fillId="0" borderId="0" xfId="0" applyFont="1" applyAlignment="1" applyProtection="1">
      <alignment horizontal="center" vertical="center" wrapText="1"/>
      <protection locked="0"/>
    </xf>
    <xf numFmtId="0" fontId="12" fillId="14" borderId="0" xfId="0" applyFont="1" applyFill="1" applyAlignment="1">
      <alignment horizontal="center" vertical="center" wrapText="1"/>
    </xf>
    <xf numFmtId="0" fontId="6" fillId="0" borderId="0" xfId="0" applyFont="1" applyAlignment="1" applyProtection="1">
      <alignment vertical="center" wrapText="1"/>
      <protection locked="0"/>
    </xf>
    <xf numFmtId="0" fontId="3" fillId="39" borderId="0" xfId="0" applyFont="1" applyFill="1" applyAlignment="1" applyProtection="1">
      <alignment horizontal="left" vertical="top" wrapText="1"/>
      <protection locked="0"/>
    </xf>
    <xf numFmtId="0" fontId="3" fillId="39" borderId="0" xfId="0" applyFont="1" applyFill="1" applyAlignment="1" applyProtection="1">
      <alignment horizontal="center" vertical="top" wrapText="1"/>
      <protection locked="0"/>
    </xf>
    <xf numFmtId="0" fontId="11" fillId="0" borderId="0" xfId="0" applyFont="1" applyAlignment="1" applyProtection="1">
      <alignment horizontal="center" vertical="top" wrapText="1"/>
      <protection locked="0"/>
    </xf>
    <xf numFmtId="0" fontId="3" fillId="0" borderId="0" xfId="0" applyFont="1" applyAlignment="1" applyProtection="1">
      <alignment vertical="center" wrapText="1"/>
      <protection locked="0"/>
    </xf>
    <xf numFmtId="0" fontId="8" fillId="0" borderId="0" xfId="0" applyFont="1" applyAlignment="1" applyProtection="1">
      <alignment vertical="top" wrapText="1"/>
      <protection locked="0"/>
    </xf>
    <xf numFmtId="0" fontId="5" fillId="49" borderId="8" xfId="0" applyFont="1" applyFill="1" applyBorder="1" applyAlignment="1" applyProtection="1">
      <alignment horizontal="left" vertical="top" wrapText="1"/>
      <protection locked="0"/>
    </xf>
    <xf numFmtId="0" fontId="5" fillId="5" borderId="0" xfId="0" applyFont="1" applyFill="1" applyAlignment="1" applyProtection="1">
      <alignment horizontal="left" vertical="center" wrapText="1"/>
      <protection locked="0"/>
    </xf>
    <xf numFmtId="0" fontId="3" fillId="41" borderId="0" xfId="0" applyFont="1" applyFill="1" applyAlignment="1" applyProtection="1">
      <alignment horizontal="center" vertical="center" wrapText="1"/>
      <protection locked="0"/>
    </xf>
    <xf numFmtId="0" fontId="3" fillId="0" borderId="0" xfId="0" applyFont="1" applyAlignment="1" applyProtection="1">
      <alignment vertical="top" wrapText="1"/>
      <protection locked="0"/>
    </xf>
    <xf numFmtId="0" fontId="5" fillId="0" borderId="0" xfId="0" applyFont="1" applyAlignment="1" applyProtection="1">
      <alignment vertical="top" wrapText="1"/>
      <protection locked="0"/>
    </xf>
    <xf numFmtId="0" fontId="10" fillId="55" borderId="0" xfId="0" applyFont="1" applyFill="1" applyAlignment="1" applyProtection="1">
      <alignment horizontal="center" vertical="top" wrapText="1"/>
      <protection locked="0"/>
    </xf>
    <xf numFmtId="0" fontId="8" fillId="18" borderId="0" xfId="0" applyFont="1" applyFill="1" applyAlignment="1" applyProtection="1">
      <alignment horizontal="center" vertical="top" wrapText="1"/>
      <protection locked="0"/>
    </xf>
    <xf numFmtId="0" fontId="13" fillId="0" borderId="15" xfId="0" applyFont="1" applyBorder="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25" fillId="41" borderId="0" xfId="0" applyFont="1" applyFill="1" applyAlignment="1" applyProtection="1">
      <alignment horizontal="center" vertical="center" wrapText="1"/>
      <protection locked="0"/>
    </xf>
    <xf numFmtId="0" fontId="38" fillId="41" borderId="0" xfId="1" applyFont="1" applyFill="1" applyBorder="1" applyAlignment="1" applyProtection="1">
      <alignment horizontal="center" vertical="center" wrapText="1"/>
      <protection locked="0"/>
    </xf>
    <xf numFmtId="0" fontId="33" fillId="48" borderId="0" xfId="0" applyFont="1" applyFill="1" applyAlignment="1" applyProtection="1">
      <alignment horizontal="center" vertical="center"/>
      <protection locked="0"/>
    </xf>
    <xf numFmtId="0" fontId="1" fillId="8" borderId="0" xfId="0" applyFont="1" applyFill="1" applyAlignment="1" applyProtection="1">
      <alignment horizontal="center" vertical="top" wrapText="1"/>
      <protection locked="0"/>
    </xf>
    <xf numFmtId="0" fontId="12" fillId="14" borderId="0" xfId="0" applyFont="1" applyFill="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5" fillId="49" borderId="0" xfId="0" applyFont="1" applyFill="1" applyAlignment="1" applyProtection="1">
      <alignment horizontal="left" vertical="top" wrapText="1"/>
      <protection locked="0"/>
    </xf>
    <xf numFmtId="0" fontId="44" fillId="53" borderId="0" xfId="0" applyFont="1" applyFill="1" applyAlignment="1" applyProtection="1">
      <alignment horizontal="left" vertical="center"/>
      <protection locked="0"/>
    </xf>
    <xf numFmtId="0" fontId="3" fillId="39" borderId="22" xfId="0" applyFont="1" applyFill="1" applyBorder="1" applyAlignment="1" applyProtection="1">
      <alignment horizontal="center" vertical="top" wrapText="1"/>
      <protection locked="0"/>
    </xf>
    <xf numFmtId="0" fontId="13" fillId="23" borderId="8" xfId="0" applyFont="1" applyFill="1" applyBorder="1" applyAlignment="1" applyProtection="1">
      <alignment horizontal="left" vertical="center"/>
      <protection locked="0"/>
    </xf>
    <xf numFmtId="0" fontId="10" fillId="13" borderId="0" xfId="0" applyFont="1" applyFill="1" applyAlignment="1" applyProtection="1">
      <alignment horizontal="center" vertical="center" wrapText="1"/>
      <protection locked="0"/>
    </xf>
    <xf numFmtId="0" fontId="3" fillId="5" borderId="0" xfId="0" applyFont="1" applyFill="1" applyAlignment="1" applyProtection="1">
      <alignment horizontal="center" vertical="center" wrapText="1"/>
      <protection locked="0"/>
    </xf>
    <xf numFmtId="0" fontId="3" fillId="50" borderId="22" xfId="0" applyFont="1" applyFill="1" applyBorder="1" applyAlignment="1">
      <alignment horizontal="center" vertical="center" wrapText="1"/>
    </xf>
    <xf numFmtId="0" fontId="3" fillId="51" borderId="30" xfId="0" applyFont="1" applyFill="1" applyBorder="1" applyAlignment="1" applyProtection="1">
      <alignment horizontal="center" vertical="center" wrapText="1"/>
      <protection locked="0"/>
    </xf>
    <xf numFmtId="0" fontId="3" fillId="51" borderId="31" xfId="0" applyFont="1" applyFill="1" applyBorder="1" applyAlignment="1" applyProtection="1">
      <alignment horizontal="center" vertical="center" wrapText="1"/>
      <protection locked="0"/>
    </xf>
    <xf numFmtId="0" fontId="3" fillId="51" borderId="32" xfId="0" applyFont="1" applyFill="1" applyBorder="1" applyAlignment="1" applyProtection="1">
      <alignment horizontal="center" vertical="center" wrapText="1"/>
      <protection locked="0"/>
    </xf>
    <xf numFmtId="0" fontId="3" fillId="51" borderId="33" xfId="0" applyFont="1" applyFill="1" applyBorder="1" applyAlignment="1" applyProtection="1">
      <alignment horizontal="center" vertical="center" wrapText="1"/>
      <protection locked="0"/>
    </xf>
    <xf numFmtId="0" fontId="3" fillId="51" borderId="34" xfId="0" applyFont="1" applyFill="1" applyBorder="1" applyAlignment="1" applyProtection="1">
      <alignment horizontal="center" vertical="center" wrapText="1"/>
      <protection locked="0"/>
    </xf>
    <xf numFmtId="0" fontId="3" fillId="51" borderId="35" xfId="0" applyFont="1" applyFill="1" applyBorder="1" applyAlignment="1" applyProtection="1">
      <alignment horizontal="center" vertical="center" wrapText="1"/>
      <protection locked="0"/>
    </xf>
    <xf numFmtId="0" fontId="43" fillId="0" borderId="8" xfId="0" applyFont="1" applyBorder="1" applyAlignment="1" applyProtection="1">
      <alignment horizontal="left" vertical="top" wrapText="1"/>
      <protection locked="0"/>
    </xf>
    <xf numFmtId="0" fontId="43" fillId="53" borderId="9" xfId="0" applyFont="1" applyFill="1" applyBorder="1" applyAlignment="1" applyProtection="1">
      <alignment horizontal="left" vertical="top" wrapText="1"/>
      <protection locked="0"/>
    </xf>
    <xf numFmtId="0" fontId="43" fillId="53" borderId="1" xfId="0" applyFont="1" applyFill="1" applyBorder="1" applyAlignment="1" applyProtection="1">
      <alignment horizontal="left" vertical="center"/>
      <protection locked="0"/>
    </xf>
    <xf numFmtId="0" fontId="0" fillId="51" borderId="2" xfId="0" applyFill="1" applyBorder="1" applyAlignment="1" applyProtection="1">
      <alignment horizontal="center" vertical="center"/>
      <protection locked="0"/>
    </xf>
    <xf numFmtId="0" fontId="0" fillId="51" borderId="3" xfId="0" applyFill="1" applyBorder="1" applyAlignment="1" applyProtection="1">
      <alignment horizontal="center" vertical="center"/>
      <protection locked="0"/>
    </xf>
    <xf numFmtId="0" fontId="0" fillId="51" borderId="1" xfId="0" applyFill="1" applyBorder="1" applyAlignment="1" applyProtection="1">
      <alignment horizontal="center" vertical="center"/>
      <protection locked="0"/>
    </xf>
    <xf numFmtId="0" fontId="3" fillId="4" borderId="0" xfId="0" applyFont="1" applyFill="1" applyAlignment="1" applyProtection="1">
      <alignment horizontal="left" vertical="top" wrapText="1"/>
      <protection locked="0"/>
    </xf>
    <xf numFmtId="0" fontId="3" fillId="39" borderId="1" xfId="0" applyFont="1" applyFill="1" applyBorder="1" applyAlignment="1" applyProtection="1">
      <alignment horizontal="center" vertical="center" wrapText="1"/>
      <protection locked="0"/>
    </xf>
    <xf numFmtId="0" fontId="3" fillId="51" borderId="1" xfId="0" applyFont="1" applyFill="1" applyBorder="1" applyAlignment="1" applyProtection="1">
      <alignment horizontal="center" vertical="center" wrapText="1"/>
      <protection locked="0"/>
    </xf>
    <xf numFmtId="0" fontId="55" fillId="51" borderId="36" xfId="0" applyFont="1" applyFill="1" applyBorder="1" applyAlignment="1" applyProtection="1">
      <alignment horizontal="center" vertical="center"/>
      <protection locked="0"/>
    </xf>
    <xf numFmtId="0" fontId="5" fillId="51" borderId="36" xfId="0" applyFont="1" applyFill="1" applyBorder="1" applyAlignment="1" applyProtection="1">
      <alignment horizontal="center" vertical="center"/>
      <protection locked="0"/>
    </xf>
    <xf numFmtId="0" fontId="9" fillId="11" borderId="36" xfId="0" applyFont="1" applyFill="1" applyBorder="1" applyAlignment="1" applyProtection="1">
      <alignment horizontal="center" vertical="center"/>
      <protection locked="0"/>
    </xf>
    <xf numFmtId="0" fontId="0" fillId="51" borderId="36" xfId="0" applyFill="1" applyBorder="1" applyAlignment="1" applyProtection="1">
      <alignment horizontal="center" vertical="center" wrapText="1"/>
      <protection locked="0"/>
    </xf>
    <xf numFmtId="0" fontId="0" fillId="51" borderId="36" xfId="0" applyFill="1" applyBorder="1" applyAlignment="1" applyProtection="1">
      <alignment horizontal="center" vertical="center"/>
      <protection locked="0"/>
    </xf>
    <xf numFmtId="0" fontId="0" fillId="51" borderId="36" xfId="0" applyFill="1" applyBorder="1" applyAlignment="1">
      <alignment horizontal="center" vertical="center"/>
    </xf>
    <xf numFmtId="0" fontId="0" fillId="4" borderId="36" xfId="0" applyFill="1" applyBorder="1" applyAlignment="1">
      <alignment horizontal="center" vertical="center" wrapText="1"/>
    </xf>
    <xf numFmtId="0" fontId="0" fillId="36" borderId="36" xfId="0" applyFill="1" applyBorder="1" applyAlignment="1">
      <alignment horizontal="center" vertical="center"/>
    </xf>
    <xf numFmtId="165" fontId="0" fillId="0" borderId="36" xfId="0" applyNumberFormat="1" applyBorder="1" applyAlignment="1">
      <alignment horizontal="center" vertical="center" wrapText="1"/>
    </xf>
    <xf numFmtId="0" fontId="3" fillId="39" borderId="36" xfId="0" applyFont="1" applyFill="1" applyBorder="1" applyAlignment="1" applyProtection="1">
      <alignment horizontal="center" vertical="center"/>
      <protection locked="0"/>
    </xf>
    <xf numFmtId="0" fontId="0" fillId="51" borderId="36" xfId="0" applyFill="1" applyBorder="1" applyAlignment="1" applyProtection="1">
      <alignment horizontal="left" vertical="center" wrapText="1"/>
      <protection locked="0"/>
    </xf>
    <xf numFmtId="0" fontId="0" fillId="0" borderId="36" xfId="0" applyBorder="1" applyAlignment="1">
      <alignment horizontal="center" vertical="center"/>
    </xf>
    <xf numFmtId="0" fontId="0" fillId="42" borderId="36" xfId="0" applyFill="1" applyBorder="1" applyAlignment="1" applyProtection="1">
      <alignment horizontal="center" vertical="center"/>
      <protection locked="0"/>
    </xf>
    <xf numFmtId="0" fontId="3" fillId="38" borderId="36" xfId="0" applyFont="1" applyFill="1" applyBorder="1" applyAlignment="1" applyProtection="1">
      <alignment horizontal="center" vertical="center"/>
      <protection locked="0"/>
    </xf>
    <xf numFmtId="0" fontId="3" fillId="38" borderId="36" xfId="0" applyFont="1" applyFill="1" applyBorder="1" applyAlignment="1" applyProtection="1">
      <alignment horizontal="center" vertical="center" wrapText="1"/>
      <protection locked="0"/>
    </xf>
    <xf numFmtId="0" fontId="3" fillId="40" borderId="0" xfId="0" applyFont="1" applyFill="1" applyAlignment="1" applyProtection="1">
      <alignment horizontal="center" vertical="top" wrapText="1"/>
      <protection locked="0"/>
    </xf>
    <xf numFmtId="0" fontId="3" fillId="49" borderId="8" xfId="0" applyFont="1" applyFill="1" applyBorder="1" applyAlignment="1" applyProtection="1">
      <alignment horizontal="left" vertical="top" wrapText="1"/>
      <protection locked="0"/>
    </xf>
    <xf numFmtId="0" fontId="3" fillId="0" borderId="0" xfId="0" applyFont="1" applyAlignment="1" applyProtection="1">
      <alignment horizontal="left" vertical="center"/>
      <protection locked="0"/>
    </xf>
    <xf numFmtId="0" fontId="3" fillId="51" borderId="36" xfId="0" applyFont="1" applyFill="1" applyBorder="1" applyAlignment="1" applyProtection="1">
      <alignment horizontal="center" vertical="center" wrapText="1"/>
      <protection locked="0"/>
    </xf>
    <xf numFmtId="0" fontId="7" fillId="51" borderId="36" xfId="0" applyFont="1" applyFill="1" applyBorder="1" applyAlignment="1" applyProtection="1">
      <alignment horizontal="center" vertical="center" wrapText="1"/>
      <protection locked="0"/>
    </xf>
    <xf numFmtId="0" fontId="0" fillId="51" borderId="37" xfId="0" applyFill="1" applyBorder="1" applyAlignment="1" applyProtection="1">
      <alignment horizontal="left" vertical="center" wrapText="1"/>
      <protection locked="0"/>
    </xf>
    <xf numFmtId="0" fontId="0" fillId="51" borderId="39" xfId="0" applyFill="1" applyBorder="1" applyAlignment="1" applyProtection="1">
      <alignment horizontal="left" vertical="center" wrapText="1"/>
      <protection locked="0"/>
    </xf>
    <xf numFmtId="0" fontId="43" fillId="53" borderId="37" xfId="0" applyFont="1" applyFill="1" applyBorder="1" applyAlignment="1" applyProtection="1">
      <alignment horizontal="left" vertical="top" wrapText="1"/>
      <protection locked="0"/>
    </xf>
    <xf numFmtId="0" fontId="43" fillId="53" borderId="38" xfId="0" applyFont="1" applyFill="1" applyBorder="1" applyAlignment="1" applyProtection="1">
      <alignment horizontal="left" vertical="top" wrapText="1"/>
      <protection locked="0"/>
    </xf>
    <xf numFmtId="0" fontId="43" fillId="53" borderId="39" xfId="0" applyFont="1" applyFill="1" applyBorder="1" applyAlignment="1" applyProtection="1">
      <alignment horizontal="left" vertical="top" wrapText="1"/>
      <protection locked="0"/>
    </xf>
    <xf numFmtId="0" fontId="32" fillId="0" borderId="0" xfId="0" applyFont="1" applyAlignment="1" applyProtection="1">
      <alignment vertical="top" wrapText="1"/>
      <protection locked="0"/>
    </xf>
    <xf numFmtId="0" fontId="3" fillId="4" borderId="0" xfId="0" applyFont="1" applyFill="1" applyAlignment="1" applyProtection="1">
      <alignment vertical="top" wrapText="1"/>
      <protection locked="0"/>
    </xf>
    <xf numFmtId="9" fontId="0" fillId="0" borderId="36" xfId="0" applyNumberFormat="1"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3" fillId="38" borderId="15" xfId="0" applyFont="1" applyFill="1" applyBorder="1" applyAlignment="1" applyProtection="1">
      <alignment horizontal="center" vertical="center" wrapText="1"/>
      <protection locked="0"/>
    </xf>
    <xf numFmtId="0" fontId="3" fillId="38" borderId="14" xfId="0" applyFont="1" applyFill="1" applyBorder="1" applyAlignment="1" applyProtection="1">
      <alignment horizontal="center" vertical="center" wrapText="1"/>
      <protection locked="0"/>
    </xf>
    <xf numFmtId="0" fontId="3" fillId="4" borderId="15"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1" borderId="36" xfId="0" applyFont="1" applyFill="1" applyBorder="1" applyAlignment="1" applyProtection="1">
      <alignment horizontal="center" vertical="center" wrapText="1"/>
      <protection locked="0"/>
    </xf>
    <xf numFmtId="0" fontId="3" fillId="40" borderId="0" xfId="0" applyFont="1" applyFill="1" applyAlignment="1">
      <alignment horizontal="center" vertical="top" wrapText="1"/>
    </xf>
    <xf numFmtId="0" fontId="3" fillId="38" borderId="5" xfId="0" applyFont="1" applyFill="1" applyBorder="1" applyAlignment="1" applyProtection="1">
      <alignment horizontal="center" vertical="center" wrapText="1"/>
      <protection locked="0"/>
    </xf>
    <xf numFmtId="0" fontId="0" fillId="41" borderId="7" xfId="0" applyFill="1" applyBorder="1" applyAlignment="1" applyProtection="1">
      <alignment horizontal="center" vertical="center"/>
      <protection locked="0"/>
    </xf>
    <xf numFmtId="0" fontId="0" fillId="41" borderId="9" xfId="0" applyFill="1" applyBorder="1" applyAlignment="1" applyProtection="1">
      <alignment horizontal="center" vertical="center"/>
      <protection locked="0"/>
    </xf>
    <xf numFmtId="0" fontId="0" fillId="41" borderId="10" xfId="0" applyFill="1" applyBorder="1" applyAlignment="1" applyProtection="1">
      <alignment horizontal="center" vertical="center"/>
      <protection locked="0"/>
    </xf>
    <xf numFmtId="0" fontId="3" fillId="4" borderId="36" xfId="0" applyFont="1" applyFill="1" applyBorder="1" applyAlignment="1" applyProtection="1">
      <alignment horizontal="center" vertical="center" wrapText="1"/>
      <protection locked="0"/>
    </xf>
    <xf numFmtId="9" fontId="0" fillId="0" borderId="36" xfId="0" applyNumberFormat="1" applyBorder="1" applyAlignment="1" applyProtection="1">
      <alignment horizontal="center" vertical="top" wrapText="1"/>
      <protection locked="0"/>
    </xf>
    <xf numFmtId="0" fontId="0" fillId="0" borderId="36" xfId="0" applyBorder="1" applyAlignment="1" applyProtection="1">
      <alignment horizontal="center" vertical="center"/>
      <protection locked="0"/>
    </xf>
    <xf numFmtId="0" fontId="0" fillId="0" borderId="36" xfId="0" applyBorder="1" applyAlignment="1" applyProtection="1">
      <alignment horizontal="center" vertical="top" wrapText="1"/>
      <protection locked="0"/>
    </xf>
    <xf numFmtId="0" fontId="0" fillId="0" borderId="40" xfId="0" applyBorder="1" applyAlignment="1" applyProtection="1">
      <alignment horizontal="center"/>
      <protection locked="0"/>
    </xf>
    <xf numFmtId="0" fontId="3" fillId="51" borderId="36" xfId="0" applyFont="1" applyFill="1" applyBorder="1" applyAlignment="1">
      <alignment horizontal="center" vertical="center" wrapText="1"/>
    </xf>
    <xf numFmtId="0" fontId="3" fillId="40" borderId="0" xfId="0" applyFont="1" applyFill="1" applyAlignment="1" applyProtection="1">
      <alignment horizontal="left" vertical="top" wrapText="1"/>
      <protection locked="0"/>
    </xf>
    <xf numFmtId="0" fontId="0" fillId="51" borderId="36" xfId="0" applyFill="1" applyBorder="1" applyAlignment="1" applyProtection="1">
      <alignment horizontal="left" vertical="top" wrapText="1"/>
      <protection locked="0"/>
    </xf>
    <xf numFmtId="0" fontId="3" fillId="39" borderId="36" xfId="0" applyFont="1" applyFill="1" applyBorder="1" applyAlignment="1" applyProtection="1">
      <alignment horizontal="center" vertical="top" wrapText="1"/>
      <protection locked="0"/>
    </xf>
    <xf numFmtId="0" fontId="0" fillId="51" borderId="36" xfId="0" applyFill="1" applyBorder="1" applyAlignment="1" applyProtection="1">
      <alignment horizontal="center" vertical="top" wrapText="1"/>
      <protection locked="0"/>
    </xf>
    <xf numFmtId="0" fontId="0" fillId="0" borderId="9" xfId="0" applyBorder="1" applyAlignment="1" applyProtection="1">
      <alignment horizontal="center" vertical="center" wrapText="1"/>
      <protection locked="0"/>
    </xf>
    <xf numFmtId="0" fontId="10" fillId="17" borderId="0" xfId="0" applyFont="1" applyFill="1" applyAlignment="1">
      <alignment horizontal="center" vertical="center" wrapText="1"/>
    </xf>
    <xf numFmtId="0" fontId="5" fillId="40" borderId="8" xfId="0" applyFont="1" applyFill="1" applyBorder="1" applyAlignment="1" applyProtection="1">
      <alignment horizontal="left" vertical="top" wrapText="1"/>
      <protection locked="0"/>
    </xf>
    <xf numFmtId="0" fontId="0" fillId="51" borderId="2" xfId="0" applyFill="1" applyBorder="1" applyAlignment="1" applyProtection="1">
      <alignment horizontal="center" vertical="top" wrapText="1"/>
      <protection locked="0"/>
    </xf>
    <xf numFmtId="0" fontId="0" fillId="51" borderId="6" xfId="0" applyFill="1" applyBorder="1" applyAlignment="1" applyProtection="1">
      <alignment horizontal="center" vertical="top" wrapText="1"/>
      <protection locked="0"/>
    </xf>
    <xf numFmtId="0" fontId="0" fillId="51" borderId="3" xfId="0" applyFill="1" applyBorder="1" applyAlignment="1" applyProtection="1">
      <alignment horizontal="center" vertical="top" wrapText="1"/>
      <protection locked="0"/>
    </xf>
    <xf numFmtId="0" fontId="0" fillId="0" borderId="8" xfId="0" applyBorder="1" applyAlignment="1" applyProtection="1">
      <alignment horizontal="center" vertical="top" wrapText="1"/>
      <protection locked="0"/>
    </xf>
    <xf numFmtId="0" fontId="5" fillId="0" borderId="0" xfId="0" applyFont="1" applyAlignment="1" applyProtection="1">
      <alignment horizontal="left" vertical="top" wrapText="1"/>
      <protection locked="0"/>
    </xf>
    <xf numFmtId="0" fontId="48" fillId="53" borderId="0" xfId="0" applyFont="1" applyFill="1" applyAlignment="1" applyProtection="1">
      <alignment horizontal="left" vertical="top" wrapText="1"/>
      <protection locked="0"/>
    </xf>
    <xf numFmtId="0" fontId="0" fillId="0" borderId="0" xfId="0" applyAlignment="1" applyProtection="1">
      <alignment horizontal="left"/>
      <protection locked="0"/>
    </xf>
    <xf numFmtId="0" fontId="6" fillId="0" borderId="0" xfId="0" applyFont="1" applyAlignment="1" applyProtection="1">
      <alignment horizontal="left"/>
      <protection locked="0"/>
    </xf>
    <xf numFmtId="0" fontId="3" fillId="0" borderId="0" xfId="0" applyFont="1" applyAlignment="1" applyProtection="1">
      <alignment horizontal="left"/>
      <protection locked="0"/>
    </xf>
    <xf numFmtId="0" fontId="0" fillId="51" borderId="41" xfId="0" applyFill="1" applyBorder="1" applyAlignment="1" applyProtection="1">
      <alignment horizontal="left" vertical="top" wrapText="1"/>
      <protection locked="0"/>
    </xf>
    <xf numFmtId="0" fontId="8" fillId="18" borderId="0" xfId="0" applyFont="1" applyFill="1" applyAlignment="1" applyProtection="1">
      <alignment vertical="center" wrapText="1"/>
      <protection locked="0"/>
    </xf>
    <xf numFmtId="0" fontId="28" fillId="51" borderId="36" xfId="0" applyFont="1" applyFill="1" applyBorder="1" applyAlignment="1" applyProtection="1">
      <alignment horizontal="center" vertical="top" wrapText="1"/>
      <protection locked="0"/>
    </xf>
    <xf numFmtId="0" fontId="3" fillId="38" borderId="0" xfId="0" applyFont="1" applyFill="1" applyAlignment="1" applyProtection="1">
      <alignment horizontal="left" vertical="center" wrapText="1"/>
      <protection locked="0"/>
    </xf>
    <xf numFmtId="0" fontId="28" fillId="51" borderId="36" xfId="0" applyFont="1" applyFill="1" applyBorder="1" applyAlignment="1" applyProtection="1">
      <alignment horizontal="left" vertical="top" wrapText="1"/>
      <protection locked="0"/>
    </xf>
    <xf numFmtId="0" fontId="3" fillId="43" borderId="0" xfId="0" applyFont="1" applyFill="1" applyAlignment="1" applyProtection="1">
      <alignment horizontal="center" vertical="center"/>
      <protection locked="0"/>
    </xf>
    <xf numFmtId="0" fontId="8" fillId="0" borderId="0" xfId="0" applyFont="1" applyAlignment="1" applyProtection="1">
      <alignment vertical="center" wrapText="1"/>
      <protection locked="0"/>
    </xf>
    <xf numFmtId="0" fontId="8" fillId="55" borderId="0" xfId="0" applyFont="1" applyFill="1" applyAlignment="1">
      <alignment horizontal="center" vertical="center" wrapText="1"/>
    </xf>
    <xf numFmtId="0" fontId="3" fillId="39" borderId="37" xfId="0" applyFont="1" applyFill="1" applyBorder="1" applyAlignment="1" applyProtection="1">
      <alignment horizontal="left" vertical="top" wrapText="1"/>
      <protection locked="0"/>
    </xf>
    <xf numFmtId="0" fontId="3" fillId="39" borderId="39" xfId="0" applyFont="1" applyFill="1" applyBorder="1" applyAlignment="1" applyProtection="1">
      <alignment horizontal="left" vertical="top" wrapText="1"/>
      <protection locked="0"/>
    </xf>
    <xf numFmtId="0" fontId="3" fillId="51" borderId="36" xfId="0" applyFont="1" applyFill="1" applyBorder="1" applyAlignment="1" applyProtection="1">
      <alignment horizontal="center" vertical="top" wrapText="1"/>
      <protection locked="0"/>
    </xf>
    <xf numFmtId="0" fontId="3" fillId="5" borderId="36" xfId="0" applyFont="1" applyFill="1" applyBorder="1" applyAlignment="1" applyProtection="1">
      <alignment horizontal="left" vertical="top" wrapText="1"/>
      <protection locked="0"/>
    </xf>
    <xf numFmtId="0" fontId="0" fillId="51" borderId="30" xfId="0" applyFill="1" applyBorder="1" applyAlignment="1" applyProtection="1">
      <alignment horizontal="center" vertical="center" wrapText="1"/>
      <protection locked="0"/>
    </xf>
    <xf numFmtId="0" fontId="0" fillId="51" borderId="31" xfId="0" applyFill="1" applyBorder="1" applyAlignment="1" applyProtection="1">
      <alignment horizontal="center" vertical="center" wrapText="1"/>
      <protection locked="0"/>
    </xf>
    <xf numFmtId="0" fontId="0" fillId="51" borderId="32" xfId="0" applyFill="1" applyBorder="1" applyAlignment="1" applyProtection="1">
      <alignment horizontal="center" vertical="center" wrapText="1"/>
      <protection locked="0"/>
    </xf>
    <xf numFmtId="0" fontId="0" fillId="51" borderId="33" xfId="0" applyFill="1" applyBorder="1" applyAlignment="1" applyProtection="1">
      <alignment horizontal="center" vertical="center" wrapText="1"/>
      <protection locked="0"/>
    </xf>
    <xf numFmtId="0" fontId="0" fillId="51" borderId="34" xfId="0" applyFill="1" applyBorder="1" applyAlignment="1" applyProtection="1">
      <alignment horizontal="center" vertical="center" wrapText="1"/>
      <protection locked="0"/>
    </xf>
    <xf numFmtId="0" fontId="0" fillId="51" borderId="35" xfId="0" applyFill="1" applyBorder="1" applyAlignment="1" applyProtection="1">
      <alignment horizontal="center" vertical="center" wrapText="1"/>
      <protection locked="0"/>
    </xf>
    <xf numFmtId="0" fontId="0" fillId="51" borderId="36" xfId="0" applyFill="1" applyBorder="1" applyAlignment="1" applyProtection="1">
      <alignment vertical="top" wrapText="1"/>
      <protection locked="0"/>
    </xf>
    <xf numFmtId="0" fontId="3" fillId="39" borderId="25" xfId="0" applyFont="1" applyFill="1" applyBorder="1" applyAlignment="1" applyProtection="1">
      <alignment horizontal="left" vertical="top" wrapText="1"/>
      <protection locked="0"/>
    </xf>
    <xf numFmtId="0" fontId="3" fillId="39" borderId="26" xfId="0" applyFont="1" applyFill="1" applyBorder="1" applyAlignment="1" applyProtection="1">
      <alignment horizontal="left" vertical="top" wrapText="1"/>
      <protection locked="0"/>
    </xf>
    <xf numFmtId="0" fontId="3" fillId="39" borderId="23" xfId="0" applyFont="1" applyFill="1" applyBorder="1" applyAlignment="1" applyProtection="1">
      <alignment horizontal="left" vertical="top" wrapText="1"/>
      <protection locked="0"/>
    </xf>
    <xf numFmtId="0" fontId="3" fillId="39" borderId="0" xfId="0" applyFont="1" applyFill="1" applyAlignment="1" applyProtection="1">
      <alignment horizontal="center" vertical="center" wrapText="1"/>
      <protection locked="0"/>
    </xf>
    <xf numFmtId="0" fontId="5" fillId="5" borderId="0" xfId="0" applyFont="1" applyFill="1" applyAlignment="1" applyProtection="1">
      <alignment horizontal="left" vertical="top" wrapText="1"/>
      <protection locked="0"/>
    </xf>
    <xf numFmtId="0" fontId="18" fillId="49" borderId="0" xfId="0" applyFont="1" applyFill="1" applyAlignment="1" applyProtection="1">
      <alignment horizontal="center" vertical="top" wrapText="1"/>
      <protection locked="0"/>
    </xf>
    <xf numFmtId="0" fontId="6" fillId="53" borderId="0" xfId="0" applyFont="1" applyFill="1" applyAlignment="1" applyProtection="1">
      <alignment horizontal="left" vertical="center" wrapText="1"/>
      <protection locked="0"/>
    </xf>
    <xf numFmtId="0" fontId="0" fillId="51" borderId="36" xfId="0" applyFill="1" applyBorder="1" applyAlignment="1" applyProtection="1">
      <alignment horizontal="left"/>
      <protection locked="0"/>
    </xf>
    <xf numFmtId="0" fontId="0" fillId="51" borderId="36" xfId="0" applyFill="1" applyBorder="1" applyAlignment="1">
      <alignment horizontal="center" vertical="center" wrapText="1"/>
    </xf>
    <xf numFmtId="0" fontId="22" fillId="39" borderId="36" xfId="0" applyFont="1" applyFill="1" applyBorder="1" applyAlignment="1" applyProtection="1">
      <alignment horizontal="left" vertical="top" wrapText="1"/>
      <protection locked="0"/>
    </xf>
    <xf numFmtId="0" fontId="44" fillId="0" borderId="0" xfId="1" applyFont="1" applyFill="1" applyAlignment="1" applyProtection="1">
      <alignment horizontal="center" vertical="top" wrapText="1"/>
      <protection locked="0"/>
    </xf>
    <xf numFmtId="0" fontId="46" fillId="0" borderId="0" xfId="0" applyFont="1" applyAlignment="1" applyProtection="1">
      <alignment horizontal="center" vertical="top" wrapText="1"/>
      <protection locked="0"/>
    </xf>
    <xf numFmtId="0" fontId="3" fillId="39" borderId="36" xfId="0" applyFont="1" applyFill="1" applyBorder="1" applyAlignment="1" applyProtection="1">
      <alignment horizontal="center" vertical="center" wrapText="1"/>
      <protection locked="0"/>
    </xf>
    <xf numFmtId="0" fontId="3" fillId="5" borderId="0" xfId="0" applyFont="1" applyFill="1" applyAlignment="1" applyProtection="1">
      <alignment horizontal="center" vertical="top" wrapText="1"/>
      <protection locked="0"/>
    </xf>
    <xf numFmtId="0" fontId="3" fillId="42" borderId="0" xfId="0" applyFont="1" applyFill="1" applyAlignment="1" applyProtection="1">
      <alignment horizontal="left" vertical="center" wrapText="1"/>
      <protection locked="0"/>
    </xf>
    <xf numFmtId="0" fontId="6" fillId="0" borderId="0" xfId="0" applyFont="1" applyAlignment="1">
      <alignment vertical="top" wrapText="1"/>
    </xf>
    <xf numFmtId="0" fontId="3" fillId="47" borderId="0" xfId="0" applyFont="1" applyFill="1" applyAlignment="1">
      <alignment horizontal="center" vertical="top" wrapText="1"/>
    </xf>
    <xf numFmtId="0" fontId="0" fillId="51" borderId="36" xfId="0" applyFill="1" applyBorder="1" applyAlignment="1">
      <alignment horizontal="left" vertical="top" wrapText="1"/>
    </xf>
    <xf numFmtId="0" fontId="0" fillId="0" borderId="0" xfId="0" applyAlignment="1">
      <alignment horizontal="left" vertical="top" wrapText="1"/>
    </xf>
    <xf numFmtId="0" fontId="0" fillId="0" borderId="0" xfId="0" applyAlignment="1">
      <alignment vertical="top" wrapText="1"/>
    </xf>
    <xf numFmtId="0" fontId="13" fillId="0" borderId="2" xfId="0" applyFont="1" applyBorder="1" applyAlignment="1">
      <alignment horizontal="left" vertical="top" wrapText="1"/>
    </xf>
    <xf numFmtId="0" fontId="20" fillId="0" borderId="6" xfId="0" applyFont="1" applyBorder="1" applyAlignment="1">
      <alignment horizontal="left" vertical="top" wrapText="1"/>
    </xf>
    <xf numFmtId="0" fontId="20" fillId="0" borderId="3" xfId="0" applyFont="1" applyBorder="1" applyAlignment="1">
      <alignment horizontal="left" vertical="top" wrapText="1"/>
    </xf>
    <xf numFmtId="0" fontId="5" fillId="5" borderId="0" xfId="0" applyFont="1" applyFill="1" applyAlignment="1">
      <alignment horizontal="left" vertical="top" wrapText="1"/>
    </xf>
    <xf numFmtId="0" fontId="3" fillId="53" borderId="0" xfId="0" applyFont="1" applyFill="1" applyAlignment="1">
      <alignment horizontal="left" vertical="top" wrapText="1"/>
    </xf>
    <xf numFmtId="0" fontId="25" fillId="51" borderId="36" xfId="0" applyFont="1" applyFill="1" applyBorder="1" applyAlignment="1">
      <alignment horizontal="left" vertical="top" wrapText="1"/>
    </xf>
    <xf numFmtId="0" fontId="25" fillId="0" borderId="18" xfId="0" applyFont="1" applyBorder="1" applyAlignment="1">
      <alignment horizontal="left" vertical="center" wrapText="1"/>
    </xf>
    <xf numFmtId="0" fontId="25" fillId="0" borderId="19" xfId="0" applyFont="1" applyBorder="1" applyAlignment="1">
      <alignment horizontal="left" vertical="center" wrapText="1"/>
    </xf>
    <xf numFmtId="0" fontId="25" fillId="54" borderId="0" xfId="0" applyFont="1" applyFill="1" applyAlignment="1">
      <alignment horizontal="left" vertical="center" wrapText="1"/>
    </xf>
    <xf numFmtId="0" fontId="43" fillId="53" borderId="0" xfId="0" applyFont="1" applyFill="1" applyAlignment="1">
      <alignment horizontal="left" vertical="top" wrapText="1"/>
    </xf>
    <xf numFmtId="0" fontId="36" fillId="48" borderId="0" xfId="0" applyFont="1" applyFill="1" applyAlignment="1">
      <alignment horizontal="center" vertical="center" wrapText="1"/>
    </xf>
    <xf numFmtId="0" fontId="3" fillId="40" borderId="0" xfId="0" applyFont="1" applyFill="1" applyAlignment="1">
      <alignment horizontal="left" vertical="top" wrapText="1"/>
    </xf>
    <xf numFmtId="0" fontId="33" fillId="48" borderId="0" xfId="0" applyFont="1" applyFill="1" applyAlignment="1" applyProtection="1">
      <alignment horizontal="center" vertical="center" wrapText="1"/>
      <protection locked="0"/>
    </xf>
    <xf numFmtId="0" fontId="3" fillId="37" borderId="0" xfId="0" applyFont="1" applyFill="1" applyAlignment="1" applyProtection="1">
      <alignment horizontal="center" vertical="center" wrapText="1"/>
      <protection locked="0"/>
    </xf>
    <xf numFmtId="0" fontId="68" fillId="52" borderId="0" xfId="1" applyFont="1" applyFill="1" applyAlignment="1" applyProtection="1">
      <alignment horizontal="center" vertical="top" wrapText="1"/>
      <protection locked="0"/>
    </xf>
    <xf numFmtId="0" fontId="3" fillId="51" borderId="0" xfId="0" applyFont="1" applyFill="1" applyAlignment="1">
      <alignment horizontal="center"/>
    </xf>
    <xf numFmtId="0" fontId="11" fillId="42" borderId="0" xfId="0" applyFont="1" applyFill="1" applyAlignment="1">
      <alignment horizontal="center"/>
    </xf>
    <xf numFmtId="0" fontId="18" fillId="34" borderId="0" xfId="0" applyFont="1" applyFill="1" applyAlignment="1">
      <alignment horizontal="center" vertical="top" wrapText="1"/>
    </xf>
    <xf numFmtId="0" fontId="0" fillId="51" borderId="0" xfId="0" applyFill="1" applyAlignment="1">
      <alignment horizontal="center"/>
    </xf>
    <xf numFmtId="0" fontId="27" fillId="51" borderId="0" xfId="0" applyFont="1" applyFill="1" applyAlignment="1">
      <alignment horizontal="center"/>
    </xf>
    <xf numFmtId="0" fontId="36" fillId="48" borderId="0" xfId="0" applyFont="1" applyFill="1" applyAlignment="1" applyProtection="1">
      <alignment horizontal="center" vertical="top" wrapText="1"/>
      <protection locked="0"/>
    </xf>
    <xf numFmtId="0" fontId="3" fillId="41" borderId="0" xfId="0" applyFont="1" applyFill="1" applyAlignment="1" applyProtection="1">
      <alignment horizontal="left" vertical="top" wrapText="1"/>
      <protection locked="0"/>
    </xf>
    <xf numFmtId="0" fontId="0" fillId="41" borderId="0" xfId="0" applyFill="1" applyAlignment="1" applyProtection="1">
      <alignment horizontal="left" vertical="top" wrapText="1"/>
      <protection locked="0"/>
    </xf>
    <xf numFmtId="0" fontId="5" fillId="39" borderId="17" xfId="0" applyFont="1" applyFill="1" applyBorder="1" applyAlignment="1" applyProtection="1">
      <alignment horizontal="left" vertical="top" wrapText="1"/>
      <protection locked="0"/>
    </xf>
    <xf numFmtId="0" fontId="43" fillId="52" borderId="16" xfId="0" applyFont="1" applyFill="1" applyBorder="1" applyAlignment="1" applyProtection="1">
      <alignment horizontal="left" vertical="top" wrapText="1"/>
      <protection locked="0"/>
    </xf>
    <xf numFmtId="0" fontId="0" fillId="0" borderId="9" xfId="0" applyBorder="1" applyAlignment="1">
      <alignment horizontal="center" vertical="top" wrapText="1"/>
    </xf>
    <xf numFmtId="0" fontId="3" fillId="0" borderId="0" xfId="0" applyFont="1" applyAlignment="1">
      <alignment horizontal="center" vertical="top" wrapText="1"/>
    </xf>
    <xf numFmtId="0" fontId="3" fillId="0" borderId="0" xfId="0" applyFont="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3" fillId="49" borderId="0" xfId="0" applyFont="1" applyFill="1" applyAlignment="1">
      <alignment horizontal="left" vertical="top" wrapText="1"/>
    </xf>
    <xf numFmtId="0" fontId="3" fillId="0" borderId="0" xfId="0" applyFont="1" applyAlignment="1">
      <alignment horizontal="left" vertical="top" wrapText="1"/>
    </xf>
    <xf numFmtId="0" fontId="43" fillId="52" borderId="9" xfId="0" applyFont="1" applyFill="1" applyBorder="1" applyAlignment="1">
      <alignment horizontal="left" vertical="top" wrapText="1"/>
    </xf>
    <xf numFmtId="0" fontId="13" fillId="0" borderId="6" xfId="0" applyFont="1" applyBorder="1" applyAlignment="1">
      <alignment horizontal="left" vertical="top" wrapText="1"/>
    </xf>
    <xf numFmtId="0" fontId="13" fillId="0" borderId="3" xfId="0" applyFont="1" applyBorder="1" applyAlignment="1">
      <alignment horizontal="left" vertical="top" wrapText="1"/>
    </xf>
    <xf numFmtId="0" fontId="3" fillId="41" borderId="0" xfId="0" applyFont="1" applyFill="1" applyAlignment="1">
      <alignment horizontal="center"/>
    </xf>
    <xf numFmtId="0" fontId="0" fillId="0" borderId="1" xfId="0" applyBorder="1" applyAlignment="1">
      <alignment horizontal="center" vertical="center"/>
    </xf>
    <xf numFmtId="0" fontId="43" fillId="52" borderId="9" xfId="0" applyFont="1" applyFill="1" applyBorder="1" applyAlignment="1">
      <alignment horizontal="center" vertical="top" wrapText="1"/>
    </xf>
    <xf numFmtId="0" fontId="13" fillId="0" borderId="1" xfId="0" applyFont="1" applyBorder="1" applyAlignment="1">
      <alignment horizontal="left" vertical="top" wrapText="1"/>
    </xf>
    <xf numFmtId="0" fontId="43" fillId="0" borderId="0" xfId="0" applyFont="1" applyAlignment="1">
      <alignment horizontal="left" vertical="center" wrapText="1"/>
    </xf>
    <xf numFmtId="0" fontId="0" fillId="51" borderId="0" xfId="0" applyFill="1" applyAlignment="1">
      <alignment horizontal="left" vertical="center" wrapText="1"/>
    </xf>
    <xf numFmtId="0" fontId="3" fillId="36" borderId="0" xfId="0" applyFont="1" applyFill="1" applyAlignment="1">
      <alignment horizontal="left" vertical="top" wrapText="1"/>
    </xf>
    <xf numFmtId="0" fontId="1" fillId="8" borderId="0" xfId="0" applyFont="1" applyFill="1" applyAlignment="1">
      <alignment horizontal="left" vertical="top" wrapText="1"/>
    </xf>
    <xf numFmtId="0" fontId="3" fillId="39" borderId="0" xfId="0" applyFont="1" applyFill="1" applyAlignment="1">
      <alignment horizontal="left" vertical="top" wrapText="1"/>
    </xf>
    <xf numFmtId="0" fontId="3" fillId="47" borderId="0" xfId="0" applyFont="1" applyFill="1" applyAlignment="1">
      <alignment horizontal="center" vertical="center"/>
    </xf>
    <xf numFmtId="0" fontId="0" fillId="51" borderId="22" xfId="0" applyFill="1" applyBorder="1" applyAlignment="1" applyProtection="1">
      <alignment vertical="top" wrapText="1"/>
      <protection locked="0"/>
    </xf>
    <xf numFmtId="0" fontId="6" fillId="51" borderId="22" xfId="0" applyFont="1" applyFill="1" applyBorder="1" applyAlignment="1" applyProtection="1">
      <alignment vertical="top" wrapText="1"/>
      <protection locked="0"/>
    </xf>
    <xf numFmtId="0" fontId="6" fillId="53" borderId="29" xfId="0" applyFont="1" applyFill="1" applyBorder="1" applyAlignment="1" applyProtection="1">
      <alignment horizontal="left" vertical="top" wrapText="1"/>
      <protection locked="0"/>
    </xf>
    <xf numFmtId="0" fontId="0" fillId="51" borderId="0" xfId="0" applyFill="1" applyAlignment="1">
      <alignment horizontal="left" vertical="top" wrapText="1"/>
    </xf>
    <xf numFmtId="0" fontId="33" fillId="48" borderId="0" xfId="0" applyFont="1" applyFill="1" applyAlignment="1">
      <alignment horizontal="center" vertical="center" wrapText="1"/>
    </xf>
    <xf numFmtId="0" fontId="0" fillId="42" borderId="2" xfId="0" applyFill="1" applyBorder="1" applyAlignment="1">
      <alignment horizontal="center" vertical="center" wrapText="1"/>
    </xf>
    <xf numFmtId="0" fontId="0" fillId="42" borderId="6" xfId="0" applyFill="1" applyBorder="1" applyAlignment="1">
      <alignment horizontal="center" vertical="center" wrapText="1"/>
    </xf>
    <xf numFmtId="0" fontId="0" fillId="42" borderId="3" xfId="0" applyFill="1" applyBorder="1" applyAlignment="1">
      <alignment horizontal="center" vertical="center" wrapText="1"/>
    </xf>
    <xf numFmtId="0" fontId="0" fillId="42" borderId="4" xfId="0" applyFill="1" applyBorder="1" applyAlignment="1">
      <alignment horizontal="center" vertical="center" wrapText="1"/>
    </xf>
    <xf numFmtId="0" fontId="0" fillId="42" borderId="5" xfId="0" applyFill="1" applyBorder="1" applyAlignment="1">
      <alignment horizontal="center" vertical="center" wrapText="1"/>
    </xf>
    <xf numFmtId="0" fontId="0" fillId="39" borderId="1" xfId="0" applyFill="1" applyBorder="1" applyAlignment="1">
      <alignment horizontal="center" vertical="center"/>
    </xf>
    <xf numFmtId="0" fontId="43" fillId="53" borderId="9" xfId="0" applyFont="1" applyFill="1" applyBorder="1" applyAlignment="1">
      <alignment horizontal="left" vertical="top" wrapText="1"/>
    </xf>
    <xf numFmtId="0" fontId="52" fillId="53" borderId="0" xfId="0" applyFont="1" applyFill="1" applyAlignment="1">
      <alignment horizontal="left" vertical="top" wrapText="1"/>
    </xf>
    <xf numFmtId="0" fontId="13" fillId="49" borderId="8" xfId="0" applyFont="1" applyFill="1" applyBorder="1" applyAlignment="1">
      <alignment horizontal="left" vertical="top" wrapText="1"/>
    </xf>
    <xf numFmtId="0" fontId="3" fillId="39" borderId="0" xfId="0" applyFont="1" applyFill="1" applyAlignment="1">
      <alignment horizontal="center" vertical="top" wrapText="1"/>
    </xf>
    <xf numFmtId="0" fontId="3" fillId="36" borderId="0" xfId="0" applyFont="1" applyFill="1" applyAlignment="1">
      <alignment vertical="top" wrapText="1"/>
    </xf>
    <xf numFmtId="0" fontId="8" fillId="18" borderId="0" xfId="0" applyFont="1" applyFill="1" applyAlignment="1">
      <alignment vertical="top" wrapText="1"/>
    </xf>
    <xf numFmtId="0" fontId="3" fillId="38" borderId="0" xfId="0" applyFont="1" applyFill="1" applyAlignment="1">
      <alignment horizontal="center" vertical="center" wrapText="1"/>
    </xf>
    <xf numFmtId="0" fontId="3" fillId="41" borderId="0" xfId="0" applyFont="1" applyFill="1" applyAlignment="1">
      <alignment horizontal="center" vertical="center" wrapText="1"/>
    </xf>
    <xf numFmtId="0" fontId="3" fillId="49" borderId="0" xfId="0" applyFont="1" applyFill="1" applyAlignment="1">
      <alignment vertical="top" wrapText="1"/>
    </xf>
    <xf numFmtId="0" fontId="6" fillId="51" borderId="9" xfId="0" applyFont="1" applyFill="1" applyBorder="1" applyAlignment="1">
      <alignment horizontal="left" vertical="top" wrapText="1"/>
    </xf>
    <xf numFmtId="0" fontId="0" fillId="51" borderId="0" xfId="0" applyFill="1" applyAlignment="1" applyProtection="1">
      <alignment horizontal="center" vertical="top" wrapText="1"/>
      <protection locked="0"/>
    </xf>
    <xf numFmtId="0" fontId="53" fillId="51" borderId="0" xfId="0" applyFont="1" applyFill="1" applyAlignment="1" applyProtection="1">
      <alignment horizontal="center" vertical="top" wrapText="1"/>
      <protection locked="0"/>
    </xf>
    <xf numFmtId="0" fontId="44" fillId="53" borderId="0" xfId="0" applyFont="1" applyFill="1" applyAlignment="1" applyProtection="1">
      <alignment horizontal="left" vertical="top" wrapText="1"/>
      <protection locked="0"/>
    </xf>
    <xf numFmtId="0" fontId="22" fillId="40" borderId="0" xfId="0" applyFont="1" applyFill="1" applyAlignment="1" applyProtection="1">
      <alignment horizontal="left" vertical="top" wrapText="1"/>
      <protection locked="0"/>
    </xf>
    <xf numFmtId="0" fontId="8" fillId="18" borderId="0" xfId="0" applyFont="1" applyFill="1" applyAlignment="1" applyProtection="1">
      <alignment horizontal="left" vertical="top" wrapText="1"/>
      <protection locked="0"/>
    </xf>
    <xf numFmtId="0" fontId="3" fillId="0" borderId="22" xfId="0" applyFont="1" applyBorder="1" applyAlignment="1" applyProtection="1">
      <alignment horizontal="center" vertical="center" wrapText="1"/>
      <protection locked="0"/>
    </xf>
    <xf numFmtId="0" fontId="5" fillId="39" borderId="22" xfId="0" applyFont="1" applyFill="1" applyBorder="1" applyAlignment="1" applyProtection="1">
      <alignment horizontal="center" vertical="center" wrapText="1"/>
      <protection locked="0"/>
    </xf>
    <xf numFmtId="0" fontId="3" fillId="40" borderId="0" xfId="0" applyFont="1" applyFill="1" applyAlignment="1" applyProtection="1">
      <alignment vertical="top" wrapText="1"/>
      <protection locked="0"/>
    </xf>
    <xf numFmtId="0" fontId="53" fillId="51" borderId="22" xfId="0" applyFont="1" applyFill="1" applyBorder="1" applyAlignment="1" applyProtection="1">
      <alignment horizontal="left" vertical="top" wrapText="1"/>
      <protection locked="0"/>
    </xf>
    <xf numFmtId="0" fontId="59" fillId="52" borderId="0" xfId="1" applyFont="1" applyFill="1" applyAlignment="1" applyProtection="1">
      <alignment horizontal="center" vertical="top" wrapText="1"/>
      <protection locked="0"/>
    </xf>
    <xf numFmtId="0" fontId="3" fillId="0" borderId="0" xfId="0" applyFont="1" applyAlignment="1">
      <alignment horizontal="center"/>
    </xf>
    <xf numFmtId="0" fontId="3" fillId="51" borderId="0" xfId="0" applyFont="1" applyFill="1" applyAlignment="1">
      <alignment horizontal="center" vertical="center"/>
    </xf>
    <xf numFmtId="0" fontId="3" fillId="55" borderId="0" xfId="0" applyFont="1" applyFill="1" applyAlignment="1">
      <alignment horizontal="center" vertical="top" wrapText="1"/>
    </xf>
    <xf numFmtId="0" fontId="3" fillId="43" borderId="0" xfId="0" applyFont="1" applyFill="1" applyAlignment="1">
      <alignment horizontal="center" vertical="center"/>
    </xf>
    <xf numFmtId="0" fontId="5" fillId="49" borderId="0" xfId="0" applyFont="1" applyFill="1" applyAlignment="1">
      <alignment vertical="top" wrapText="1"/>
    </xf>
    <xf numFmtId="0" fontId="1" fillId="8" borderId="0" xfId="0" applyFont="1" applyFill="1" applyAlignment="1">
      <alignment horizontal="center" vertical="top" wrapText="1"/>
    </xf>
    <xf numFmtId="0" fontId="3" fillId="5" borderId="0" xfId="0" applyFont="1" applyFill="1" applyAlignment="1">
      <alignment horizontal="left" vertical="top" wrapText="1"/>
    </xf>
    <xf numFmtId="0" fontId="3" fillId="39" borderId="22" xfId="0" applyFont="1" applyFill="1" applyBorder="1" applyAlignment="1">
      <alignment horizontal="center" vertical="center" wrapText="1"/>
    </xf>
    <xf numFmtId="0" fontId="3" fillId="42" borderId="1" xfId="0" applyFont="1" applyFill="1" applyBorder="1" applyAlignment="1">
      <alignment horizontal="center" vertical="center" wrapText="1"/>
    </xf>
    <xf numFmtId="0" fontId="8" fillId="0" borderId="0" xfId="0" applyFont="1" applyAlignment="1">
      <alignment horizontal="center" vertical="center" wrapText="1"/>
    </xf>
    <xf numFmtId="0" fontId="0" fillId="51" borderId="22" xfId="0" applyFill="1" applyBorder="1" applyAlignment="1">
      <alignment horizontal="center" vertical="top" wrapText="1"/>
    </xf>
    <xf numFmtId="0" fontId="33" fillId="0" borderId="0" xfId="0" applyFont="1" applyAlignment="1">
      <alignment horizontal="center" vertical="center" wrapText="1"/>
    </xf>
    <xf numFmtId="0" fontId="8" fillId="0" borderId="0" xfId="0" applyFont="1" applyAlignment="1">
      <alignment vertical="top" wrapText="1"/>
    </xf>
    <xf numFmtId="0" fontId="3" fillId="0" borderId="0" xfId="0" applyFont="1" applyAlignment="1">
      <alignment vertical="top" wrapText="1"/>
    </xf>
    <xf numFmtId="0" fontId="45" fillId="0" borderId="0" xfId="0" applyFont="1" applyAlignment="1" applyProtection="1">
      <alignment vertical="top" wrapText="1"/>
      <protection locked="0"/>
    </xf>
    <xf numFmtId="0" fontId="22" fillId="36" borderId="0" xfId="0" applyFont="1" applyFill="1" applyAlignment="1" applyProtection="1">
      <alignment vertical="top" wrapText="1"/>
      <protection locked="0"/>
    </xf>
    <xf numFmtId="0" fontId="43" fillId="0" borderId="0" xfId="0" applyFont="1" applyAlignment="1">
      <alignment horizontal="left" vertical="top" wrapText="1"/>
    </xf>
    <xf numFmtId="0" fontId="6" fillId="0" borderId="0" xfId="0" applyFont="1" applyAlignment="1">
      <alignment horizontal="left" vertical="top" wrapText="1"/>
    </xf>
    <xf numFmtId="0" fontId="43" fillId="53" borderId="9" xfId="0" applyFont="1" applyFill="1" applyBorder="1" applyAlignment="1">
      <alignment horizontal="left" vertical="center" wrapText="1"/>
    </xf>
    <xf numFmtId="0" fontId="0" fillId="51" borderId="1" xfId="0" applyFill="1" applyBorder="1" applyAlignment="1" applyProtection="1">
      <alignment horizontal="left" vertical="center" wrapText="1"/>
      <protection locked="0"/>
    </xf>
    <xf numFmtId="0" fontId="48" fillId="0" borderId="0" xfId="0" applyFont="1" applyAlignment="1" applyProtection="1">
      <alignment horizontal="left" vertical="top" wrapText="1"/>
      <protection locked="0"/>
    </xf>
    <xf numFmtId="0" fontId="50" fillId="0" borderId="0" xfId="0" applyFont="1" applyAlignment="1" applyProtection="1">
      <alignment horizontal="left" vertical="top" wrapText="1"/>
      <protection locked="0"/>
    </xf>
    <xf numFmtId="0" fontId="49" fillId="43" borderId="0" xfId="0" applyFont="1" applyFill="1" applyAlignment="1" applyProtection="1">
      <alignment horizontal="center" vertical="top" wrapText="1"/>
      <protection locked="0"/>
    </xf>
    <xf numFmtId="0" fontId="0" fillId="51" borderId="1" xfId="0" applyFill="1" applyBorder="1" applyAlignment="1">
      <alignment horizontal="left" vertical="center" wrapText="1"/>
    </xf>
    <xf numFmtId="0" fontId="0" fillId="51" borderId="1" xfId="0" applyFill="1" applyBorder="1" applyAlignment="1">
      <alignment horizontal="center" vertical="center" wrapText="1"/>
    </xf>
    <xf numFmtId="0" fontId="0" fillId="53" borderId="36" xfId="0" applyFill="1" applyBorder="1" applyAlignment="1" applyProtection="1">
      <alignment vertical="top" wrapText="1"/>
      <protection locked="0"/>
    </xf>
    <xf numFmtId="0" fontId="7" fillId="53" borderId="36" xfId="0" applyFont="1" applyFill="1" applyBorder="1" applyAlignment="1" applyProtection="1">
      <alignment horizontal="center" vertical="center" wrapText="1"/>
      <protection locked="0"/>
    </xf>
    <xf numFmtId="0" fontId="0" fillId="4" borderId="36" xfId="0" applyFill="1" applyBorder="1" applyAlignment="1">
      <alignment vertical="top" wrapText="1"/>
    </xf>
    <xf numFmtId="1" fontId="0" fillId="4" borderId="36" xfId="0" applyNumberFormat="1" applyFill="1" applyBorder="1" applyAlignment="1">
      <alignment vertical="top" wrapText="1"/>
    </xf>
    <xf numFmtId="0" fontId="0" fillId="0" borderId="36" xfId="0" applyBorder="1" applyAlignment="1">
      <alignment vertical="top" wrapText="1"/>
    </xf>
    <xf numFmtId="0" fontId="3" fillId="42" borderId="36" xfId="0" applyFont="1" applyFill="1" applyBorder="1" applyAlignment="1">
      <alignment horizontal="center" vertical="center" wrapText="1"/>
    </xf>
    <xf numFmtId="1" fontId="5" fillId="51" borderId="36" xfId="0" applyNumberFormat="1" applyFont="1" applyFill="1" applyBorder="1" applyAlignment="1" applyProtection="1">
      <alignment horizontal="center" vertical="center" wrapText="1"/>
      <protection locked="0"/>
    </xf>
    <xf numFmtId="0" fontId="53" fillId="51" borderId="36" xfId="0" applyFont="1" applyFill="1" applyBorder="1" applyAlignment="1" applyProtection="1">
      <alignment vertical="top" wrapText="1"/>
      <protection locked="0"/>
    </xf>
    <xf numFmtId="0" fontId="53" fillId="51" borderId="36" xfId="0" applyFont="1" applyFill="1" applyBorder="1" applyAlignment="1" applyProtection="1">
      <alignment horizontal="center" vertical="top" wrapText="1"/>
      <protection locked="0"/>
    </xf>
    <xf numFmtId="165" fontId="5" fillId="41" borderId="36" xfId="0" applyNumberFormat="1" applyFont="1" applyFill="1" applyBorder="1" applyAlignment="1">
      <alignment horizontal="center" vertical="center" wrapText="1"/>
    </xf>
    <xf numFmtId="0" fontId="0" fillId="51" borderId="37" xfId="0" applyFill="1" applyBorder="1" applyAlignment="1" applyProtection="1">
      <alignment horizontal="left" vertical="top" wrapText="1"/>
      <protection locked="0"/>
    </xf>
    <xf numFmtId="0" fontId="0" fillId="51" borderId="38" xfId="0" applyFill="1" applyBorder="1" applyAlignment="1" applyProtection="1">
      <alignment horizontal="left" vertical="top" wrapText="1"/>
      <protection locked="0"/>
    </xf>
    <xf numFmtId="0" fontId="0" fillId="51" borderId="39" xfId="0" applyFill="1" applyBorder="1" applyAlignment="1" applyProtection="1">
      <alignment horizontal="left" vertical="top" wrapText="1"/>
      <protection locked="0"/>
    </xf>
    <xf numFmtId="0" fontId="0" fillId="51" borderId="36" xfId="0" applyFill="1" applyBorder="1" applyAlignment="1">
      <alignment horizontal="center" vertical="top" wrapText="1"/>
    </xf>
    <xf numFmtId="0" fontId="0" fillId="51" borderId="36" xfId="0" applyFill="1" applyBorder="1" applyAlignment="1">
      <alignment horizontal="center" vertical="top" wrapText="1"/>
    </xf>
    <xf numFmtId="0" fontId="11" fillId="51" borderId="36" xfId="0" applyFont="1" applyFill="1" applyBorder="1" applyAlignment="1">
      <alignment horizontal="center" vertical="center" wrapText="1"/>
    </xf>
    <xf numFmtId="165" fontId="11" fillId="35" borderId="36" xfId="0" applyNumberFormat="1" applyFont="1" applyFill="1" applyBorder="1" applyAlignment="1">
      <alignment horizontal="center" vertical="center" wrapText="1"/>
    </xf>
    <xf numFmtId="165" fontId="5" fillId="35" borderId="36" xfId="0" applyNumberFormat="1" applyFont="1" applyFill="1" applyBorder="1" applyAlignment="1">
      <alignment horizontal="center" vertical="center" wrapText="1"/>
    </xf>
    <xf numFmtId="0" fontId="3" fillId="39" borderId="42" xfId="0" applyFont="1" applyFill="1" applyBorder="1" applyAlignment="1">
      <alignment horizontal="center" vertical="top" wrapText="1"/>
    </xf>
    <xf numFmtId="0" fontId="0" fillId="51" borderId="37" xfId="0" applyFill="1" applyBorder="1" applyAlignment="1">
      <alignment horizontal="center" vertical="top" wrapText="1"/>
    </xf>
    <xf numFmtId="0" fontId="0" fillId="51" borderId="38" xfId="0" applyFill="1" applyBorder="1" applyAlignment="1">
      <alignment horizontal="center" vertical="top" wrapText="1"/>
    </xf>
    <xf numFmtId="0" fontId="0" fillId="51" borderId="39" xfId="0" applyFill="1" applyBorder="1" applyAlignment="1">
      <alignment horizontal="center" vertical="top" wrapText="1"/>
    </xf>
    <xf numFmtId="0" fontId="3" fillId="38" borderId="0" xfId="0" applyFont="1" applyFill="1" applyAlignment="1" applyProtection="1">
      <alignment horizontal="center" vertical="center" wrapText="1"/>
      <protection locked="0"/>
    </xf>
    <xf numFmtId="0" fontId="3" fillId="0" borderId="0" xfId="0" applyFont="1" applyAlignment="1">
      <alignment horizontal="center" vertical="center" wrapText="1"/>
    </xf>
    <xf numFmtId="0" fontId="0" fillId="0" borderId="0" xfId="0" applyFill="1" applyAlignment="1">
      <alignment horizontal="center" vertical="top" wrapText="1"/>
    </xf>
    <xf numFmtId="0" fontId="3" fillId="39" borderId="8" xfId="0" applyFont="1" applyFill="1" applyBorder="1" applyAlignment="1" applyProtection="1">
      <alignment horizontal="center" vertical="top" wrapText="1"/>
      <protection locked="0"/>
    </xf>
    <xf numFmtId="9" fontId="11" fillId="41" borderId="36" xfId="0" applyNumberFormat="1" applyFont="1" applyFill="1" applyBorder="1" applyAlignment="1">
      <alignment horizontal="center" vertical="center" wrapText="1"/>
    </xf>
    <xf numFmtId="0" fontId="5" fillId="35" borderId="36" xfId="0" applyFont="1" applyFill="1" applyBorder="1" applyAlignment="1">
      <alignment horizontal="center" vertical="center" wrapText="1"/>
    </xf>
    <xf numFmtId="0" fontId="5" fillId="51" borderId="36" xfId="0" applyFont="1" applyFill="1" applyBorder="1" applyProtection="1">
      <protection locked="0"/>
    </xf>
    <xf numFmtId="0" fontId="27" fillId="51" borderId="36" xfId="0" applyFont="1" applyFill="1" applyBorder="1" applyAlignment="1" applyProtection="1">
      <alignment horizontal="center"/>
      <protection locked="0"/>
    </xf>
    <xf numFmtId="0" fontId="28" fillId="51" borderId="36" xfId="0" applyFont="1" applyFill="1" applyBorder="1" applyAlignment="1" applyProtection="1">
      <alignment vertical="top" wrapText="1"/>
      <protection locked="0"/>
    </xf>
    <xf numFmtId="0" fontId="5" fillId="51" borderId="36" xfId="0" applyFont="1" applyFill="1" applyBorder="1" applyAlignment="1" applyProtection="1">
      <alignment horizontal="center" vertical="top" wrapText="1"/>
      <protection locked="0"/>
    </xf>
    <xf numFmtId="0" fontId="5" fillId="51" borderId="36" xfId="0" applyFont="1" applyFill="1" applyBorder="1" applyAlignment="1" applyProtection="1">
      <alignment vertical="top" wrapText="1"/>
      <protection locked="0"/>
    </xf>
    <xf numFmtId="165" fontId="0" fillId="41" borderId="36" xfId="0" applyNumberFormat="1" applyFill="1" applyBorder="1" applyAlignment="1">
      <alignment horizontal="center"/>
    </xf>
    <xf numFmtId="0" fontId="25" fillId="51" borderId="36" xfId="1" applyFont="1" applyFill="1" applyBorder="1" applyAlignment="1" applyProtection="1">
      <alignment horizontal="center" vertical="center" wrapText="1"/>
      <protection locked="0"/>
    </xf>
    <xf numFmtId="0" fontId="25" fillId="51" borderId="36" xfId="0" applyFont="1" applyFill="1" applyBorder="1" applyAlignment="1" applyProtection="1">
      <alignment horizontal="center" vertical="center" wrapText="1"/>
      <protection locked="0"/>
    </xf>
    <xf numFmtId="165" fontId="0" fillId="51" borderId="36" xfId="0" applyNumberFormat="1" applyFill="1" applyBorder="1" applyAlignment="1">
      <alignment horizontal="center" vertical="center"/>
    </xf>
    <xf numFmtId="0" fontId="30" fillId="51" borderId="36" xfId="0" applyFont="1" applyFill="1" applyBorder="1" applyAlignment="1" applyProtection="1">
      <alignment horizontal="center" vertical="center" wrapText="1"/>
      <protection locked="0"/>
    </xf>
    <xf numFmtId="0" fontId="3" fillId="39" borderId="29" xfId="0" applyFont="1" applyFill="1" applyBorder="1" applyAlignment="1" applyProtection="1">
      <alignment horizontal="center" vertical="top" wrapText="1"/>
      <protection locked="0"/>
    </xf>
    <xf numFmtId="0" fontId="0" fillId="51" borderId="25" xfId="0" applyFill="1" applyBorder="1" applyAlignment="1" applyProtection="1">
      <alignment horizontal="center" vertical="top" wrapText="1"/>
      <protection locked="0"/>
    </xf>
    <xf numFmtId="0" fontId="0" fillId="51" borderId="23" xfId="0" applyFill="1" applyBorder="1" applyAlignment="1" applyProtection="1">
      <alignment horizontal="center" vertical="top" wrapText="1"/>
      <protection locked="0"/>
    </xf>
    <xf numFmtId="0" fontId="5" fillId="56" borderId="36" xfId="0" applyFont="1" applyFill="1" applyBorder="1" applyAlignment="1" applyProtection="1">
      <alignment horizontal="center" vertical="center" wrapText="1"/>
      <protection locked="0"/>
    </xf>
    <xf numFmtId="0" fontId="0" fillId="56" borderId="36" xfId="0" applyFill="1" applyBorder="1" applyAlignment="1" applyProtection="1">
      <alignment horizontal="center" vertical="center" wrapText="1"/>
      <protection locked="0"/>
    </xf>
  </cellXfs>
  <cellStyles count="2">
    <cellStyle name="Hyperlink" xfId="1" builtinId="8"/>
    <cellStyle name="Normal" xfId="0" builtinId="0"/>
  </cellStyles>
  <dxfs count="159">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color rgb="FF9C6500"/>
      </font>
      <fill>
        <patternFill>
          <bgColor rgb="FFFFF2CC"/>
        </patternFill>
      </fill>
    </dxf>
    <dxf>
      <font>
        <b/>
        <color rgb="FF006100"/>
      </font>
      <fill>
        <patternFill>
          <bgColor rgb="FFC6E0B4"/>
        </patternFill>
      </fill>
    </dxf>
    <dxf>
      <font>
        <color theme="0"/>
      </font>
      <fill>
        <patternFill>
          <bgColor theme="0"/>
        </patternFill>
      </fill>
      <border>
        <left/>
        <right/>
        <top/>
        <bottom/>
        <vertical/>
        <horizontal/>
      </border>
    </dxf>
    <dxf>
      <font>
        <color theme="0"/>
      </font>
      <fill>
        <patternFill>
          <fgColor theme="0"/>
          <bgColor theme="0"/>
        </patternFill>
      </fill>
      <border>
        <left/>
        <right/>
        <top/>
        <bottom/>
        <vertical/>
        <horizontal/>
      </border>
    </dxf>
    <dxf>
      <fill>
        <patternFill>
          <bgColor theme="9" tint="0.79998168889431442"/>
        </patternFill>
      </fill>
    </dxf>
    <dxf>
      <fill>
        <patternFill>
          <bgColor theme="5" tint="0.7999816888943144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b/>
        <color rgb="FF9C6500"/>
      </font>
      <fill>
        <patternFill>
          <bgColor rgb="FFFFF2CC"/>
        </patternFill>
      </fill>
    </dxf>
    <dxf>
      <font>
        <b/>
        <color rgb="FF006100"/>
      </font>
      <fill>
        <patternFill>
          <bgColor rgb="FFC6E0B4"/>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ont>
        <color theme="0"/>
      </font>
    </dxf>
    <dxf>
      <font>
        <color theme="1"/>
      </font>
      <fill>
        <patternFill>
          <fgColor theme="9" tint="0.79998168889431442"/>
        </patternFill>
      </fill>
    </dxf>
    <dxf>
      <font>
        <b/>
        <i val="0"/>
      </font>
      <fill>
        <patternFill>
          <fgColor theme="9" tint="0.79998168889431442"/>
        </patternFill>
      </fill>
    </dxf>
    <dxf>
      <fill>
        <patternFill>
          <fgColor theme="9" tint="0.79998168889431442"/>
        </patternFill>
      </fill>
    </dxf>
    <dxf>
      <font>
        <b/>
        <color rgb="FF9C6500"/>
      </font>
      <fill>
        <patternFill>
          <bgColor rgb="FFFFF2CC"/>
        </patternFill>
      </fill>
    </dxf>
    <dxf>
      <font>
        <b/>
        <color rgb="FF006100"/>
      </font>
      <fill>
        <patternFill>
          <bgColor rgb="FFC6E0B4"/>
        </patternFill>
      </fill>
    </dxf>
    <dxf>
      <font>
        <color theme="0"/>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b/>
        <color rgb="FF9C6500"/>
      </font>
      <fill>
        <patternFill>
          <bgColor rgb="FFFFF2CC"/>
        </patternFill>
      </fill>
    </dxf>
    <dxf>
      <font>
        <b/>
        <color rgb="FF006100"/>
      </font>
      <fill>
        <patternFill>
          <bgColor rgb="FFC6E0B4"/>
        </patternFill>
      </fill>
    </dxf>
    <dxf>
      <font>
        <b/>
        <color rgb="FF9C6500"/>
      </font>
      <fill>
        <patternFill>
          <bgColor rgb="FFFFF2CC"/>
        </patternFill>
      </fill>
    </dxf>
    <dxf>
      <font>
        <b/>
        <color rgb="FF006100"/>
      </font>
      <fill>
        <patternFill>
          <bgColor rgb="FFC6E0B4"/>
        </patternFill>
      </fill>
    </dxf>
    <dxf>
      <font>
        <b/>
        <color rgb="FF9C6500"/>
      </font>
      <fill>
        <patternFill>
          <bgColor rgb="FFFFF2CC"/>
        </patternFill>
      </fill>
    </dxf>
    <dxf>
      <font>
        <b/>
        <color rgb="FF006100"/>
      </font>
      <fill>
        <patternFill>
          <bgColor rgb="FFC6E0B4"/>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C00000"/>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9" tint="0.59996337778862885"/>
        </patternFill>
      </fill>
    </dxf>
    <dxf>
      <fill>
        <patternFill>
          <bgColor theme="5" tint="0.59996337778862885"/>
        </patternFill>
      </fill>
    </dxf>
    <dxf>
      <font>
        <color theme="0"/>
      </font>
      <fill>
        <patternFill>
          <bgColor theme="0"/>
        </patternFill>
      </fill>
      <border>
        <left/>
        <right/>
        <top/>
        <bottom/>
        <vertical/>
        <horizontal/>
      </border>
    </dxf>
    <dxf>
      <font>
        <color theme="0"/>
      </font>
      <fill>
        <patternFill>
          <bgColor rgb="FFC00000"/>
        </patternFill>
      </fill>
    </dxf>
    <dxf>
      <font>
        <b/>
        <color rgb="FF9C6500"/>
      </font>
      <fill>
        <patternFill>
          <bgColor rgb="FFFFF2CC"/>
        </patternFill>
      </fill>
    </dxf>
    <dxf>
      <font>
        <b/>
        <color rgb="FF006100"/>
      </font>
      <fill>
        <patternFill>
          <fgColor theme="9" tint="0.79998168889431442"/>
          <bgColor rgb="FFC6E0B4"/>
        </patternFill>
      </fill>
    </dxf>
    <dxf>
      <font>
        <color rgb="FFFFFFFF"/>
      </font>
      <fill>
        <patternFill>
          <bgColor rgb="FFFFFFFF"/>
        </patternFill>
      </fill>
    </dxf>
    <dxf>
      <font>
        <color rgb="FFFFFFFF"/>
      </font>
      <fill>
        <patternFill>
          <bgColor rgb="FFFFFFFF"/>
        </patternFill>
      </fill>
    </dxf>
    <dxf>
      <font>
        <color theme="0"/>
      </font>
    </dxf>
    <dxf>
      <font>
        <color theme="0"/>
      </font>
    </dxf>
    <dxf>
      <font>
        <color theme="0"/>
      </font>
    </dxf>
    <dxf>
      <font>
        <color theme="0"/>
      </font>
    </dxf>
    <dxf>
      <font>
        <color theme="0"/>
      </font>
    </dxf>
    <dxf>
      <font>
        <color theme="0"/>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5" tint="0.59996337778862885"/>
        </patternFill>
      </fill>
    </dxf>
    <dxf>
      <fill>
        <patternFill>
          <bgColor theme="5" tint="0.59996337778862885"/>
        </patternFill>
      </fill>
    </dxf>
    <dxf>
      <fill>
        <patternFill>
          <bgColor theme="9" tint="0.59996337778862885"/>
        </patternFill>
      </fill>
    </dxf>
    <dxf>
      <font>
        <color theme="0"/>
      </font>
    </dxf>
    <dxf>
      <font>
        <color theme="0"/>
      </font>
    </dxf>
    <dxf>
      <font>
        <color theme="0"/>
      </font>
    </dxf>
    <dxf>
      <font>
        <color theme="0"/>
      </font>
    </dxf>
    <dxf>
      <font>
        <color theme="0"/>
      </font>
    </dxf>
    <dxf>
      <font>
        <color theme="0"/>
      </font>
    </dxf>
    <dxf>
      <font>
        <color theme="0"/>
      </font>
      <fill>
        <patternFill>
          <fgColor theme="0"/>
          <bgColor theme="0"/>
        </patternFill>
      </fill>
      <border>
        <left/>
        <right/>
        <top/>
        <bottom/>
        <vertical/>
        <horizontal/>
      </border>
    </dxf>
    <dxf>
      <font>
        <color theme="0"/>
      </font>
      <fill>
        <patternFill>
          <bgColor theme="0"/>
        </patternFill>
      </fill>
      <border>
        <vertical/>
        <horizontal/>
      </border>
    </dxf>
    <dxf>
      <font>
        <color theme="0"/>
      </font>
      <fill>
        <patternFill>
          <fgColor theme="0"/>
          <bgColor theme="0"/>
        </patternFill>
      </fill>
      <border>
        <vertical/>
        <horizontal/>
      </border>
    </dxf>
    <dxf>
      <font>
        <b/>
        <color rgb="FF9C6500"/>
      </font>
      <fill>
        <patternFill>
          <bgColor rgb="FFFFF2CC"/>
        </patternFill>
      </fill>
    </dxf>
    <dxf>
      <font>
        <b/>
        <color rgb="FF006100"/>
      </font>
      <fill>
        <patternFill>
          <bgColor rgb="FFC6E0B4"/>
        </patternFill>
      </fill>
    </dxf>
    <dxf>
      <font>
        <b/>
        <color rgb="FF9C6500"/>
      </font>
      <fill>
        <patternFill>
          <bgColor rgb="FFFFF2CC"/>
        </patternFill>
      </fill>
    </dxf>
    <dxf>
      <font>
        <b/>
        <color rgb="FF006100"/>
      </font>
      <fill>
        <patternFill>
          <bgColor rgb="FFC6E0B4"/>
        </patternFill>
      </fill>
    </dxf>
    <dxf>
      <font>
        <color theme="0"/>
      </font>
    </dxf>
    <dxf>
      <font>
        <color theme="0"/>
      </font>
    </dxf>
    <dxf>
      <font>
        <b/>
        <color rgb="FF9C6500"/>
      </font>
      <fill>
        <patternFill>
          <bgColor rgb="FFFFF2CC"/>
        </patternFill>
      </fill>
    </dxf>
    <dxf>
      <font>
        <b/>
        <color rgb="FF006100"/>
      </font>
      <fill>
        <patternFill>
          <bgColor rgb="FFC6E0B4"/>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FCE9E0"/>
      <color rgb="FFFFFFCC"/>
      <color rgb="FFFFF2C9"/>
      <color rgb="FFFFFF99"/>
      <color rgb="FFFFCC99"/>
      <color rgb="FFFEF7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heetMetadata" Target="metadata.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microsoft.com/office/2006/relationships/vbaProject" Target="vbaProject.bin"/><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60960</xdr:colOff>
          <xdr:row>31</xdr:row>
          <xdr:rowOff>91440</xdr:rowOff>
        </xdr:from>
        <xdr:to>
          <xdr:col>0</xdr:col>
          <xdr:colOff>1013460</xdr:colOff>
          <xdr:row>32</xdr:row>
          <xdr:rowOff>175260</xdr:rowOff>
        </xdr:to>
        <xdr:sp macro="" textlink="">
          <xdr:nvSpPr>
            <xdr:cNvPr id="52228" name="Button 4" hidden="1">
              <a:extLst>
                <a:ext uri="{63B3BB69-23CF-44E3-9099-C40C66FF867C}">
                  <a14:compatExt spid="_x0000_s52228"/>
                </a:ext>
                <a:ext uri="{FF2B5EF4-FFF2-40B4-BE49-F238E27FC236}">
                  <a16:creationId xmlns:a16="http://schemas.microsoft.com/office/drawing/2014/main" id="{00000000-0008-0000-0D00-000004CC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15240</xdr:colOff>
          <xdr:row>16</xdr:row>
          <xdr:rowOff>53340</xdr:rowOff>
        </xdr:from>
        <xdr:to>
          <xdr:col>0</xdr:col>
          <xdr:colOff>990600</xdr:colOff>
          <xdr:row>17</xdr:row>
          <xdr:rowOff>91440</xdr:rowOff>
        </xdr:to>
        <xdr:sp macro="" textlink="">
          <xdr:nvSpPr>
            <xdr:cNvPr id="52669" name="Button 445" hidden="1">
              <a:extLst>
                <a:ext uri="{63B3BB69-23CF-44E3-9099-C40C66FF867C}">
                  <a14:compatExt spid="_x0000_s52669"/>
                </a:ext>
                <a:ext uri="{FF2B5EF4-FFF2-40B4-BE49-F238E27FC236}">
                  <a16:creationId xmlns:a16="http://schemas.microsoft.com/office/drawing/2014/main" id="{00000000-0008-0000-0D00-0000BDCD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19</xdr:row>
          <xdr:rowOff>15240</xdr:rowOff>
        </xdr:from>
        <xdr:to>
          <xdr:col>1</xdr:col>
          <xdr:colOff>38100</xdr:colOff>
          <xdr:row>19</xdr:row>
          <xdr:rowOff>327660</xdr:rowOff>
        </xdr:to>
        <xdr:sp macro="" textlink="">
          <xdr:nvSpPr>
            <xdr:cNvPr id="67585" name="Button 1" hidden="1">
              <a:extLst>
                <a:ext uri="{63B3BB69-23CF-44E3-9099-C40C66FF867C}">
                  <a14:compatExt spid="_x0000_s67585"/>
                </a:ext>
                <a:ext uri="{FF2B5EF4-FFF2-40B4-BE49-F238E27FC236}">
                  <a16:creationId xmlns:a16="http://schemas.microsoft.com/office/drawing/2014/main" id="{00000000-0008-0000-0E00-0000010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27</xdr:row>
          <xdr:rowOff>373380</xdr:rowOff>
        </xdr:from>
        <xdr:to>
          <xdr:col>0</xdr:col>
          <xdr:colOff>1150620</xdr:colOff>
          <xdr:row>28</xdr:row>
          <xdr:rowOff>365760</xdr:rowOff>
        </xdr:to>
        <xdr:sp macro="" textlink="">
          <xdr:nvSpPr>
            <xdr:cNvPr id="72706" name="Button 2" hidden="1">
              <a:extLst>
                <a:ext uri="{63B3BB69-23CF-44E3-9099-C40C66FF867C}">
                  <a14:compatExt spid="_x0000_s72706"/>
                </a:ext>
                <a:ext uri="{FF2B5EF4-FFF2-40B4-BE49-F238E27FC236}">
                  <a16:creationId xmlns:a16="http://schemas.microsoft.com/office/drawing/2014/main" id="{00000000-0008-0000-1300-0000021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25</xdr:row>
          <xdr:rowOff>365760</xdr:rowOff>
        </xdr:from>
        <xdr:to>
          <xdr:col>0</xdr:col>
          <xdr:colOff>1226820</xdr:colOff>
          <xdr:row>26</xdr:row>
          <xdr:rowOff>350520</xdr:rowOff>
        </xdr:to>
        <xdr:sp macro="" textlink="">
          <xdr:nvSpPr>
            <xdr:cNvPr id="75777" name="Button 1" hidden="1">
              <a:extLst>
                <a:ext uri="{63B3BB69-23CF-44E3-9099-C40C66FF867C}">
                  <a14:compatExt spid="_x0000_s75777"/>
                </a:ext>
                <a:ext uri="{FF2B5EF4-FFF2-40B4-BE49-F238E27FC236}">
                  <a16:creationId xmlns:a16="http://schemas.microsoft.com/office/drawing/2014/main" id="{00000000-0008-0000-1600-0000012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22860</xdr:colOff>
          <xdr:row>17</xdr:row>
          <xdr:rowOff>167640</xdr:rowOff>
        </xdr:from>
        <xdr:to>
          <xdr:col>1</xdr:col>
          <xdr:colOff>0</xdr:colOff>
          <xdr:row>19</xdr:row>
          <xdr:rowOff>0</xdr:rowOff>
        </xdr:to>
        <xdr:sp macro="" textlink="">
          <xdr:nvSpPr>
            <xdr:cNvPr id="77825" name="Button 1" hidden="1">
              <a:extLst>
                <a:ext uri="{63B3BB69-23CF-44E3-9099-C40C66FF867C}">
                  <a14:compatExt spid="_x0000_s77825"/>
                </a:ext>
                <a:ext uri="{FF2B5EF4-FFF2-40B4-BE49-F238E27FC236}">
                  <a16:creationId xmlns:a16="http://schemas.microsoft.com/office/drawing/2014/main" id="{00000000-0008-0000-1800-00000130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38100</xdr:colOff>
          <xdr:row>17</xdr:row>
          <xdr:rowOff>7620</xdr:rowOff>
        </xdr:from>
        <xdr:to>
          <xdr:col>0</xdr:col>
          <xdr:colOff>1059180</xdr:colOff>
          <xdr:row>17</xdr:row>
          <xdr:rowOff>335280</xdr:rowOff>
        </xdr:to>
        <xdr:sp macro="" textlink="">
          <xdr:nvSpPr>
            <xdr:cNvPr id="78849" name="Button 1" hidden="1">
              <a:extLst>
                <a:ext uri="{63B3BB69-23CF-44E3-9099-C40C66FF867C}">
                  <a14:compatExt spid="_x0000_s78849"/>
                </a:ext>
                <a:ext uri="{FF2B5EF4-FFF2-40B4-BE49-F238E27FC236}">
                  <a16:creationId xmlns:a16="http://schemas.microsoft.com/office/drawing/2014/main" id="{00000000-0008-0000-1900-00000134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91440</xdr:colOff>
          <xdr:row>18</xdr:row>
          <xdr:rowOff>213360</xdr:rowOff>
        </xdr:from>
        <xdr:to>
          <xdr:col>0</xdr:col>
          <xdr:colOff>1036320</xdr:colOff>
          <xdr:row>20</xdr:row>
          <xdr:rowOff>0</xdr:rowOff>
        </xdr:to>
        <xdr:sp macro="" textlink="">
          <xdr:nvSpPr>
            <xdr:cNvPr id="80900" name="Button 4" hidden="1">
              <a:extLst>
                <a:ext uri="{63B3BB69-23CF-44E3-9099-C40C66FF867C}">
                  <a14:compatExt spid="_x0000_s80900"/>
                </a:ext>
                <a:ext uri="{FF2B5EF4-FFF2-40B4-BE49-F238E27FC236}">
                  <a16:creationId xmlns:a16="http://schemas.microsoft.com/office/drawing/2014/main" id="{00000000-0008-0000-1B00-0000043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60960</xdr:colOff>
          <xdr:row>18</xdr:row>
          <xdr:rowOff>7620</xdr:rowOff>
        </xdr:from>
        <xdr:to>
          <xdr:col>1</xdr:col>
          <xdr:colOff>0</xdr:colOff>
          <xdr:row>19</xdr:row>
          <xdr:rowOff>0</xdr:rowOff>
        </xdr:to>
        <xdr:sp macro="" textlink="">
          <xdr:nvSpPr>
            <xdr:cNvPr id="81922" name="Button 2" hidden="1">
              <a:extLst>
                <a:ext uri="{63B3BB69-23CF-44E3-9099-C40C66FF867C}">
                  <a14:compatExt spid="_x0000_s81922"/>
                </a:ext>
                <a:ext uri="{FF2B5EF4-FFF2-40B4-BE49-F238E27FC236}">
                  <a16:creationId xmlns:a16="http://schemas.microsoft.com/office/drawing/2014/main" id="{00000000-0008-0000-1C00-00000240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22860</xdr:colOff>
          <xdr:row>21</xdr:row>
          <xdr:rowOff>30480</xdr:rowOff>
        </xdr:from>
        <xdr:to>
          <xdr:col>0</xdr:col>
          <xdr:colOff>1120140</xdr:colOff>
          <xdr:row>22</xdr:row>
          <xdr:rowOff>137160</xdr:rowOff>
        </xdr:to>
        <xdr:sp macro="" textlink="">
          <xdr:nvSpPr>
            <xdr:cNvPr id="144385" name="Button 1" hidden="1">
              <a:extLst>
                <a:ext uri="{63B3BB69-23CF-44E3-9099-C40C66FF867C}">
                  <a14:compatExt spid="_x0000_s144385"/>
                </a:ext>
                <a:ext uri="{FF2B5EF4-FFF2-40B4-BE49-F238E27FC236}">
                  <a16:creationId xmlns:a16="http://schemas.microsoft.com/office/drawing/2014/main" id="{00000000-0008-0000-2100-0000013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14</xdr:row>
          <xdr:rowOff>121920</xdr:rowOff>
        </xdr:from>
        <xdr:to>
          <xdr:col>0</xdr:col>
          <xdr:colOff>899160</xdr:colOff>
          <xdr:row>16</xdr:row>
          <xdr:rowOff>0</xdr:rowOff>
        </xdr:to>
        <xdr:sp macro="" textlink="">
          <xdr:nvSpPr>
            <xdr:cNvPr id="146433" name="Button 1" hidden="1">
              <a:extLst>
                <a:ext uri="{63B3BB69-23CF-44E3-9099-C40C66FF867C}">
                  <a14:compatExt spid="_x0000_s146433"/>
                </a:ext>
                <a:ext uri="{FF2B5EF4-FFF2-40B4-BE49-F238E27FC236}">
                  <a16:creationId xmlns:a16="http://schemas.microsoft.com/office/drawing/2014/main" id="{00000000-0008-0000-2300-0000013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31</xdr:row>
          <xdr:rowOff>190500</xdr:rowOff>
        </xdr:from>
        <xdr:to>
          <xdr:col>1</xdr:col>
          <xdr:colOff>0</xdr:colOff>
          <xdr:row>32</xdr:row>
          <xdr:rowOff>243840</xdr:rowOff>
        </xdr:to>
        <xdr:sp macro="" textlink="">
          <xdr:nvSpPr>
            <xdr:cNvPr id="98305" name="Button 1" hidden="1">
              <a:extLst>
                <a:ext uri="{63B3BB69-23CF-44E3-9099-C40C66FF867C}">
                  <a14:compatExt spid="_x0000_s98305"/>
                </a:ext>
                <a:ext uri="{FF2B5EF4-FFF2-40B4-BE49-F238E27FC236}">
                  <a16:creationId xmlns:a16="http://schemas.microsoft.com/office/drawing/2014/main" id="{00000000-0008-0000-2C00-00000180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38100</xdr:colOff>
          <xdr:row>18</xdr:row>
          <xdr:rowOff>243840</xdr:rowOff>
        </xdr:from>
        <xdr:to>
          <xdr:col>0</xdr:col>
          <xdr:colOff>1005840</xdr:colOff>
          <xdr:row>20</xdr:row>
          <xdr:rowOff>0</xdr:rowOff>
        </xdr:to>
        <xdr:sp macro="" textlink="">
          <xdr:nvSpPr>
            <xdr:cNvPr id="99329" name="Button 1" hidden="1">
              <a:extLst>
                <a:ext uri="{63B3BB69-23CF-44E3-9099-C40C66FF867C}">
                  <a14:compatExt spid="_x0000_s99329"/>
                </a:ext>
                <a:ext uri="{FF2B5EF4-FFF2-40B4-BE49-F238E27FC236}">
                  <a16:creationId xmlns:a16="http://schemas.microsoft.com/office/drawing/2014/main" id="{00000000-0008-0000-2D00-00000184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60960</xdr:colOff>
          <xdr:row>34</xdr:row>
          <xdr:rowOff>236220</xdr:rowOff>
        </xdr:from>
        <xdr:to>
          <xdr:col>0</xdr:col>
          <xdr:colOff>1021080</xdr:colOff>
          <xdr:row>36</xdr:row>
          <xdr:rowOff>0</xdr:rowOff>
        </xdr:to>
        <xdr:sp macro="" textlink="">
          <xdr:nvSpPr>
            <xdr:cNvPr id="99330" name="Button 2" hidden="1">
              <a:extLst>
                <a:ext uri="{63B3BB69-23CF-44E3-9099-C40C66FF867C}">
                  <a14:compatExt spid="_x0000_s99330"/>
                </a:ext>
                <a:ext uri="{FF2B5EF4-FFF2-40B4-BE49-F238E27FC236}">
                  <a16:creationId xmlns:a16="http://schemas.microsoft.com/office/drawing/2014/main" id="{00000000-0008-0000-2D00-00000284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30480</xdr:colOff>
          <xdr:row>19</xdr:row>
          <xdr:rowOff>137160</xdr:rowOff>
        </xdr:from>
        <xdr:to>
          <xdr:col>0</xdr:col>
          <xdr:colOff>937260</xdr:colOff>
          <xdr:row>20</xdr:row>
          <xdr:rowOff>144780</xdr:rowOff>
        </xdr:to>
        <xdr:sp macro="" textlink="">
          <xdr:nvSpPr>
            <xdr:cNvPr id="112641" name="Button 1" hidden="1">
              <a:extLst>
                <a:ext uri="{63B3BB69-23CF-44E3-9099-C40C66FF867C}">
                  <a14:compatExt spid="_x0000_s112641"/>
                </a:ext>
                <a:ext uri="{FF2B5EF4-FFF2-40B4-BE49-F238E27FC236}">
                  <a16:creationId xmlns:a16="http://schemas.microsoft.com/office/drawing/2014/main" id="{00000000-0008-0000-3900-000001B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68580</xdr:colOff>
          <xdr:row>17</xdr:row>
          <xdr:rowOff>243840</xdr:rowOff>
        </xdr:from>
        <xdr:to>
          <xdr:col>0</xdr:col>
          <xdr:colOff>982980</xdr:colOff>
          <xdr:row>19</xdr:row>
          <xdr:rowOff>0</xdr:rowOff>
        </xdr:to>
        <xdr:sp macro="" textlink="">
          <xdr:nvSpPr>
            <xdr:cNvPr id="116740" name="Button 4" hidden="1">
              <a:extLst>
                <a:ext uri="{63B3BB69-23CF-44E3-9099-C40C66FF867C}">
                  <a14:compatExt spid="_x0000_s116740"/>
                </a:ext>
                <a:ext uri="{FF2B5EF4-FFF2-40B4-BE49-F238E27FC236}">
                  <a16:creationId xmlns:a16="http://schemas.microsoft.com/office/drawing/2014/main" id="{00000000-0008-0000-3D00-000004C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6.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7.bin"/><Relationship Id="rId4" Type="http://schemas.openxmlformats.org/officeDocument/2006/relationships/ctrlProp" Target="../ctrlProps/ctrlProp3.xm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indiawris.gov.in/wris/" TargetMode="External"/></Relationships>
</file>

<file path=xl/worksheets/_rels/sheet20.xml.rels><?xml version="1.0" encoding="UTF-8" standalone="yes"?>
<Relationships xmlns="http://schemas.openxmlformats.org/package/2006/relationships"><Relationship Id="rId3" Type="http://schemas.openxmlformats.org/officeDocument/2006/relationships/ctrlProp" Target="../ctrlProps/ctrlProp4.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3" Type="http://schemas.openxmlformats.org/officeDocument/2006/relationships/ctrlProp" Target="../ctrlProps/ctrlProp5.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25.xml.rels><?xml version="1.0" encoding="UTF-8" standalone="yes"?>
<Relationships xmlns="http://schemas.openxmlformats.org/package/2006/relationships"><Relationship Id="rId3" Type="http://schemas.openxmlformats.org/officeDocument/2006/relationships/ctrlProp" Target="../ctrlProps/ctrlProp6.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10.bin"/><Relationship Id="rId4" Type="http://schemas.openxmlformats.org/officeDocument/2006/relationships/ctrlProp" Target="../ctrlProps/ctrlProp7.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1.bin"/><Relationship Id="rId4" Type="http://schemas.openxmlformats.org/officeDocument/2006/relationships/ctrlProp" Target="../ctrlProps/ctrlProp8.xml"/></Relationships>
</file>

<file path=xl/worksheets/_rels/sheet29.xml.rels><?xml version="1.0" encoding="UTF-8" standalone="yes"?>
<Relationships xmlns="http://schemas.openxmlformats.org/package/2006/relationships"><Relationship Id="rId3" Type="http://schemas.openxmlformats.org/officeDocument/2006/relationships/ctrlProp" Target="../ctrlProps/ctrlProp9.xml"/><Relationship Id="rId2" Type="http://schemas.openxmlformats.org/officeDocument/2006/relationships/vmlDrawing" Target="../drawings/vmlDrawing8.vml"/><Relationship Id="rId1" Type="http://schemas.openxmlformats.org/officeDocument/2006/relationships/drawing" Target="../drawings/drawing8.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10.xm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6.xml.rels><?xml version="1.0" encoding="UTF-8" standalone="yes"?>
<Relationships xmlns="http://schemas.openxmlformats.org/package/2006/relationships"><Relationship Id="rId3" Type="http://schemas.openxmlformats.org/officeDocument/2006/relationships/ctrlProp" Target="../ctrlProps/ctrlProp11.xml"/><Relationship Id="rId2" Type="http://schemas.openxmlformats.org/officeDocument/2006/relationships/vmlDrawing" Target="../drawings/vmlDrawing10.vml"/><Relationship Id="rId1" Type="http://schemas.openxmlformats.org/officeDocument/2006/relationships/drawing" Target="../drawings/drawing10.xml"/></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45.xml.rels><?xml version="1.0" encoding="UTF-8" standalone="yes"?>
<Relationships xmlns="http://schemas.openxmlformats.org/package/2006/relationships"><Relationship Id="rId3" Type="http://schemas.openxmlformats.org/officeDocument/2006/relationships/ctrlProp" Target="../ctrlProps/ctrlProp12.xml"/><Relationship Id="rId2" Type="http://schemas.openxmlformats.org/officeDocument/2006/relationships/vmlDrawing" Target="../drawings/vmlDrawing11.vml"/><Relationship Id="rId1" Type="http://schemas.openxmlformats.org/officeDocument/2006/relationships/drawing" Target="../drawings/drawing11.xml"/></Relationships>
</file>

<file path=xl/worksheets/_rels/sheet46.xml.rels><?xml version="1.0" encoding="UTF-8" standalone="yes"?>
<Relationships xmlns="http://schemas.openxmlformats.org/package/2006/relationships"><Relationship Id="rId3" Type="http://schemas.openxmlformats.org/officeDocument/2006/relationships/ctrlProp" Target="../ctrlProps/ctrlProp13.xml"/><Relationship Id="rId2" Type="http://schemas.openxmlformats.org/officeDocument/2006/relationships/vmlDrawing" Target="../drawings/vmlDrawing12.vml"/><Relationship Id="rId1" Type="http://schemas.openxmlformats.org/officeDocument/2006/relationships/drawing" Target="../drawings/drawing12.xml"/><Relationship Id="rId4" Type="http://schemas.openxmlformats.org/officeDocument/2006/relationships/ctrlProp" Target="../ctrlProps/ctrlProp14.xml"/></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58.xml.rels><?xml version="1.0" encoding="UTF-8" standalone="yes"?>
<Relationships xmlns="http://schemas.openxmlformats.org/package/2006/relationships"><Relationship Id="rId3" Type="http://schemas.openxmlformats.org/officeDocument/2006/relationships/ctrlProp" Target="../ctrlProps/ctrlProp15.xml"/><Relationship Id="rId2" Type="http://schemas.openxmlformats.org/officeDocument/2006/relationships/vmlDrawing" Target="../drawings/vmlDrawing13.vml"/><Relationship Id="rId1" Type="http://schemas.openxmlformats.org/officeDocument/2006/relationships/drawing" Target="../drawings/drawing13.xml"/></Relationships>
</file>

<file path=xl/worksheets/_rels/sheet62.xml.rels><?xml version="1.0" encoding="UTF-8" standalone="yes"?>
<Relationships xmlns="http://schemas.openxmlformats.org/package/2006/relationships"><Relationship Id="rId3" Type="http://schemas.openxmlformats.org/officeDocument/2006/relationships/ctrlProp" Target="../ctrlProps/ctrlProp16.xml"/><Relationship Id="rId2" Type="http://schemas.openxmlformats.org/officeDocument/2006/relationships/vmlDrawing" Target="../drawings/vmlDrawing14.vml"/><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6"/>
  <sheetViews>
    <sheetView workbookViewId="0">
      <selection activeCell="I23" sqref="I23"/>
    </sheetView>
  </sheetViews>
  <sheetFormatPr defaultRowHeight="13.8"/>
  <cols>
    <col min="1" max="1" width="18" customWidth="1"/>
    <col min="2" max="2" width="19" customWidth="1"/>
    <col min="3" max="5" width="18" customWidth="1"/>
  </cols>
  <sheetData>
    <row r="1" spans="1:5" ht="19.95" customHeight="1">
      <c r="A1" s="548" t="s">
        <v>1660</v>
      </c>
      <c r="B1" s="548"/>
      <c r="C1" s="548"/>
      <c r="D1" s="548"/>
      <c r="E1" s="548"/>
    </row>
    <row r="2" spans="1:5" ht="19.95" customHeight="1">
      <c r="A2" s="544" t="s">
        <v>0</v>
      </c>
      <c r="B2" s="544"/>
      <c r="C2" s="546"/>
      <c r="D2" s="546"/>
      <c r="E2" s="546"/>
    </row>
    <row r="3" spans="1:5" ht="19.95" customHeight="1">
      <c r="A3" s="544" t="s">
        <v>1</v>
      </c>
      <c r="B3" s="544"/>
      <c r="C3" s="546"/>
      <c r="D3" s="546"/>
      <c r="E3" s="546"/>
    </row>
    <row r="4" spans="1:5" ht="19.95" customHeight="1">
      <c r="A4" s="544" t="s">
        <v>513</v>
      </c>
      <c r="B4" s="544"/>
      <c r="C4" s="546"/>
      <c r="D4" s="546"/>
      <c r="E4" s="546"/>
    </row>
    <row r="5" spans="1:5" ht="19.95" customHeight="1">
      <c r="A5" s="544" t="s">
        <v>975</v>
      </c>
      <c r="B5" s="544"/>
      <c r="C5" s="546"/>
      <c r="D5" s="546"/>
      <c r="E5" s="546"/>
    </row>
    <row r="6" spans="1:5" ht="19.95" customHeight="1">
      <c r="A6" s="544" t="s">
        <v>439</v>
      </c>
      <c r="B6" s="544"/>
      <c r="C6" s="549" t="s">
        <v>1046</v>
      </c>
      <c r="D6" s="549"/>
      <c r="E6" s="549"/>
    </row>
    <row r="7" spans="1:5" ht="19.95" customHeight="1">
      <c r="A7" s="544" t="s">
        <v>976</v>
      </c>
      <c r="B7" s="544"/>
      <c r="C7" s="545" t="s">
        <v>707</v>
      </c>
      <c r="D7" s="545"/>
      <c r="E7" s="545"/>
    </row>
    <row r="8" spans="1:5" ht="19.95" customHeight="1">
      <c r="A8" s="544" t="s">
        <v>2</v>
      </c>
      <c r="B8" s="544"/>
      <c r="C8" s="551" t="s">
        <v>5</v>
      </c>
      <c r="D8" s="546"/>
      <c r="E8" s="546"/>
    </row>
    <row r="9" spans="1:5" ht="19.95" customHeight="1">
      <c r="A9" s="544" t="s">
        <v>510</v>
      </c>
      <c r="B9" s="544"/>
      <c r="C9" s="552" t="s">
        <v>1659</v>
      </c>
      <c r="D9" s="545"/>
      <c r="E9" s="545"/>
    </row>
    <row r="10" spans="1:5" ht="19.95" customHeight="1">
      <c r="A10" s="547" t="s">
        <v>1030</v>
      </c>
      <c r="B10" s="547"/>
      <c r="C10" s="552" t="s">
        <v>318</v>
      </c>
      <c r="D10" s="552"/>
      <c r="E10" s="552"/>
    </row>
    <row r="11" spans="1:5" ht="19.95" customHeight="1">
      <c r="A11" s="547" t="s">
        <v>744</v>
      </c>
      <c r="B11" s="547"/>
      <c r="C11" s="549" t="s">
        <v>344</v>
      </c>
      <c r="D11" s="549"/>
      <c r="E11" s="549"/>
    </row>
    <row r="12" spans="1:5" ht="19.95" customHeight="1">
      <c r="A12" s="544" t="s">
        <v>511</v>
      </c>
      <c r="B12" s="544"/>
      <c r="C12" s="545" t="s">
        <v>487</v>
      </c>
      <c r="D12" s="545"/>
      <c r="E12" s="545"/>
    </row>
    <row r="13" spans="1:5" ht="19.95" customHeight="1">
      <c r="A13" s="544" t="s">
        <v>973</v>
      </c>
      <c r="B13" s="544"/>
      <c r="C13" s="546"/>
      <c r="D13" s="546"/>
      <c r="E13" s="546"/>
    </row>
    <row r="14" spans="1:5" ht="19.95" customHeight="1">
      <c r="A14" s="547" t="s">
        <v>974</v>
      </c>
      <c r="B14" s="547"/>
      <c r="C14" s="46"/>
      <c r="D14" s="46"/>
      <c r="E14" s="46"/>
    </row>
    <row r="15" spans="1:5" ht="19.95" customHeight="1">
      <c r="A15" s="544" t="s">
        <v>512</v>
      </c>
      <c r="B15" s="544"/>
      <c r="C15" s="546"/>
      <c r="D15" s="546"/>
      <c r="E15" s="546"/>
    </row>
    <row r="16" spans="1:5" ht="19.95" customHeight="1">
      <c r="A16" s="544" t="s">
        <v>514</v>
      </c>
      <c r="B16" s="544"/>
      <c r="C16" s="543"/>
      <c r="D16" s="543"/>
      <c r="E16" s="543"/>
    </row>
    <row r="17" spans="1:5" ht="19.95" customHeight="1">
      <c r="A17" s="547" t="s">
        <v>977</v>
      </c>
      <c r="B17" s="547"/>
      <c r="C17" s="543"/>
      <c r="D17" s="543"/>
      <c r="E17" s="543"/>
    </row>
    <row r="18" spans="1:5" ht="19.95" customHeight="1">
      <c r="A18" s="547" t="s">
        <v>978</v>
      </c>
      <c r="B18" s="547"/>
      <c r="C18" s="553"/>
      <c r="D18" s="553"/>
      <c r="E18" s="553"/>
    </row>
    <row r="19" spans="1:5" ht="19.95" customHeight="1">
      <c r="A19" s="547" t="s">
        <v>979</v>
      </c>
      <c r="B19" s="547"/>
      <c r="C19" s="553"/>
      <c r="D19" s="553"/>
      <c r="E19" s="553"/>
    </row>
    <row r="20" spans="1:5" ht="19.95" customHeight="1">
      <c r="A20" s="547" t="s">
        <v>980</v>
      </c>
      <c r="B20" s="547"/>
      <c r="C20" s="48"/>
      <c r="D20" s="48"/>
      <c r="E20" s="48"/>
    </row>
    <row r="21" spans="1:5" ht="19.95" customHeight="1">
      <c r="A21" s="547" t="s">
        <v>708</v>
      </c>
      <c r="B21" s="547"/>
      <c r="C21" s="543"/>
      <c r="D21" s="543"/>
      <c r="E21" s="543"/>
    </row>
    <row r="22" spans="1:5" ht="30" customHeight="1">
      <c r="A22" s="550" t="s">
        <v>972</v>
      </c>
      <c r="B22" s="550"/>
      <c r="C22" s="543"/>
      <c r="D22" s="543"/>
      <c r="E22" s="543"/>
    </row>
    <row r="23" spans="1:5" ht="30" customHeight="1">
      <c r="A23" s="550" t="s">
        <v>981</v>
      </c>
      <c r="B23" s="550"/>
      <c r="C23" s="47"/>
      <c r="D23" s="47"/>
      <c r="E23" s="47"/>
    </row>
    <row r="24" spans="1:5" ht="30" customHeight="1">
      <c r="A24" s="550" t="s">
        <v>709</v>
      </c>
      <c r="B24" s="550"/>
      <c r="C24" s="543"/>
      <c r="D24" s="543"/>
      <c r="E24" s="543"/>
    </row>
    <row r="25" spans="1:5" ht="30" customHeight="1">
      <c r="A25" s="550" t="s">
        <v>981</v>
      </c>
      <c r="B25" s="550"/>
      <c r="C25" s="47"/>
      <c r="D25" s="47"/>
      <c r="E25" s="47"/>
    </row>
    <row r="26" spans="1:5" ht="21.6" customHeight="1">
      <c r="A26" s="30" t="s">
        <v>982</v>
      </c>
    </row>
  </sheetData>
  <mergeCells count="45">
    <mergeCell ref="C9:E9"/>
    <mergeCell ref="A7:B7"/>
    <mergeCell ref="A10:B10"/>
    <mergeCell ref="C10:E10"/>
    <mergeCell ref="A25:B25"/>
    <mergeCell ref="A24:B24"/>
    <mergeCell ref="C24:E24"/>
    <mergeCell ref="A22:B22"/>
    <mergeCell ref="C22:E22"/>
    <mergeCell ref="A17:B17"/>
    <mergeCell ref="A18:B18"/>
    <mergeCell ref="A19:B19"/>
    <mergeCell ref="C17:E17"/>
    <mergeCell ref="C18:E18"/>
    <mergeCell ref="C19:E19"/>
    <mergeCell ref="A16:B16"/>
    <mergeCell ref="A4:B4"/>
    <mergeCell ref="C4:E4"/>
    <mergeCell ref="A6:B6"/>
    <mergeCell ref="C6:E6"/>
    <mergeCell ref="A23:B23"/>
    <mergeCell ref="A20:B20"/>
    <mergeCell ref="A11:B11"/>
    <mergeCell ref="C11:E11"/>
    <mergeCell ref="A5:B5"/>
    <mergeCell ref="C5:E5"/>
    <mergeCell ref="A8:B8"/>
    <mergeCell ref="C8:E8"/>
    <mergeCell ref="A9:B9"/>
    <mergeCell ref="C7:E7"/>
    <mergeCell ref="A21:B21"/>
    <mergeCell ref="C21:E21"/>
    <mergeCell ref="A1:E1"/>
    <mergeCell ref="A2:B2"/>
    <mergeCell ref="C2:E2"/>
    <mergeCell ref="A3:B3"/>
    <mergeCell ref="C3:E3"/>
    <mergeCell ref="C16:E16"/>
    <mergeCell ref="A12:B12"/>
    <mergeCell ref="C12:E12"/>
    <mergeCell ref="A13:B13"/>
    <mergeCell ref="C13:E13"/>
    <mergeCell ref="A15:B15"/>
    <mergeCell ref="C15:E15"/>
    <mergeCell ref="A14:B14"/>
  </mergeCells>
  <dataValidations count="7">
    <dataValidation sqref="C12:E12" xr:uid="{00000000-0002-0000-0000-000000000000}"/>
    <dataValidation type="list" allowBlank="1" showInputMessage="1" showErrorMessage="1" sqref="C6" xr:uid="{12536AB2-EF8A-4AAD-84D3-4F9C5D86733E}">
      <formula1>"Yes, No"</formula1>
    </dataValidation>
    <dataValidation type="list" allowBlank="1" showInputMessage="1" showErrorMessage="1" sqref="C7:E7" xr:uid="{33456557-C268-40E0-83EC-EFB1751A59B1}">
      <formula1>"&lt;1, &gt; 1"</formula1>
    </dataValidation>
    <dataValidation type="list" sqref="C8:E8" xr:uid="{8A31A8CE-C68B-441E-9DBD-2F39D80ECC94}">
      <formula1>"New Hotel, Existing Hotel"</formula1>
    </dataValidation>
    <dataValidation type="list" sqref="D9:E9 C9" xr:uid="{7637EC29-1CA2-43B0-AFF9-BB582A3C1A96}">
      <formula1>"1-Star,2-Star,3-Star,4-Star,5-Star, NA"</formula1>
    </dataValidation>
    <dataValidation type="list" allowBlank="1" showInputMessage="1" showErrorMessage="1" sqref="C11:E11" xr:uid="{B6178F51-DB39-41D3-8D09-B39D282ABA78}">
      <formula1>"Luxury Hotel, Business Hotel"</formula1>
    </dataValidation>
    <dataValidation type="list" sqref="C10:E10" xr:uid="{B81A88EC-488F-4210-9883-E4E9A7BFA707}">
      <formula1>"Warm Humid, Composite, Hot &amp; Dry, Moderate"</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94"/>
  <sheetViews>
    <sheetView topLeftCell="A70" workbookViewId="0">
      <selection activeCell="A71" sqref="A71"/>
    </sheetView>
  </sheetViews>
  <sheetFormatPr defaultRowHeight="13.8"/>
  <cols>
    <col min="1" max="1" width="18" customWidth="1"/>
    <col min="2" max="2" width="39" customWidth="1"/>
    <col min="3" max="3" width="15" customWidth="1"/>
    <col min="4" max="4" width="18.19921875" bestFit="1" customWidth="1"/>
  </cols>
  <sheetData>
    <row r="1" spans="1:6" ht="21">
      <c r="A1" s="556" t="s">
        <v>3</v>
      </c>
      <c r="B1" s="556"/>
      <c r="C1" s="556"/>
      <c r="D1" s="556"/>
    </row>
    <row r="2" spans="1:6" ht="14.4" customHeight="1">
      <c r="A2" s="558" t="s">
        <v>1647</v>
      </c>
      <c r="B2" s="558"/>
      <c r="C2" s="558"/>
      <c r="D2" s="558"/>
    </row>
    <row r="3" spans="1:6">
      <c r="A3" s="1" t="s">
        <v>4</v>
      </c>
      <c r="B3" s="1"/>
      <c r="C3" s="1" t="s">
        <v>5</v>
      </c>
      <c r="D3" s="1" t="s">
        <v>6</v>
      </c>
      <c r="F3" s="30"/>
    </row>
    <row r="4" spans="1:6" ht="14.4">
      <c r="A4" s="86" t="str">
        <f>HYPERLINK("#'SS MR 1'!A1","SS MR 1")</f>
        <v>SS MR 1</v>
      </c>
      <c r="B4" s="23" t="s">
        <v>8</v>
      </c>
      <c r="C4" s="24" t="s">
        <v>9</v>
      </c>
      <c r="D4" s="24" t="str">
        <f>IF('SS MR 1'!D3="COMPLIANT","COMPLIANT","")</f>
        <v>COMPLIANT</v>
      </c>
    </row>
    <row r="5" spans="1:6" ht="14.4">
      <c r="A5" s="86" t="str">
        <f>HYPERLINK("#'SS MR 2'!A1","SS MR 2")</f>
        <v>SS MR 2</v>
      </c>
      <c r="B5" s="23" t="s">
        <v>11</v>
      </c>
      <c r="C5" s="24" t="s">
        <v>9</v>
      </c>
      <c r="D5" s="24" t="str">
        <f>IF('SS MR 2'!D3="COMPLIANT","COMPLIANT","")</f>
        <v>COMPLIANT</v>
      </c>
    </row>
    <row r="6" spans="1:6" ht="14.4">
      <c r="A6" s="86" t="str">
        <f>HYPERLINK("#'SS MR 3'!A1","SS MR 3")</f>
        <v>SS MR 3</v>
      </c>
      <c r="B6" s="23" t="s">
        <v>13</v>
      </c>
      <c r="C6" s="24" t="s">
        <v>9</v>
      </c>
      <c r="D6" s="24" t="str">
        <f>IF('SS MR 3'!D3="COMPLIANT","COMPLIANT","")</f>
        <v>COMPLIANT</v>
      </c>
    </row>
    <row r="7" spans="1:6" ht="14.4">
      <c r="A7" s="86" t="str">
        <f>HYPERLINK("#'SS CR 1'!A1","SS CR 1")</f>
        <v>SS CR 1</v>
      </c>
      <c r="B7" s="23" t="s">
        <v>15</v>
      </c>
      <c r="C7" s="24">
        <v>2</v>
      </c>
      <c r="D7" s="24">
        <f>'SS CR 1'!C1</f>
        <v>0</v>
      </c>
    </row>
    <row r="8" spans="1:6" ht="14.4">
      <c r="A8" s="86" t="str">
        <f>HYPERLINK("#'SS CR 2'!A1","SS CR 2")</f>
        <v>SS CR 2</v>
      </c>
      <c r="B8" s="23" t="s">
        <v>17</v>
      </c>
      <c r="C8" s="24">
        <v>2</v>
      </c>
      <c r="D8" s="24">
        <f>'SS CR 2'!F1</f>
        <v>0</v>
      </c>
    </row>
    <row r="9" spans="1:6" ht="14.4">
      <c r="A9" s="86" t="str">
        <f>HYPERLINK("#'SS CR 3'!A1","SS CR 3")</f>
        <v>SS CR 3</v>
      </c>
      <c r="B9" s="23" t="s">
        <v>19</v>
      </c>
      <c r="C9" s="24">
        <v>1</v>
      </c>
      <c r="D9" s="24">
        <f>'SS CR 3'!C1</f>
        <v>1</v>
      </c>
      <c r="F9" t="s">
        <v>285</v>
      </c>
    </row>
    <row r="10" spans="1:6" ht="14.4">
      <c r="A10" s="86" t="str">
        <f>HYPERLINK("#'SS CR 4'!A1","SS CR 4")</f>
        <v>SS CR 4</v>
      </c>
      <c r="B10" s="23" t="s">
        <v>21</v>
      </c>
      <c r="C10" s="24">
        <v>1</v>
      </c>
      <c r="D10" s="24">
        <f>'SS CR 4'!E1</f>
        <v>0</v>
      </c>
    </row>
    <row r="11" spans="1:6">
      <c r="A11" s="557" t="s">
        <v>22</v>
      </c>
      <c r="B11" s="557"/>
      <c r="C11" s="21">
        <f>SUM(C4:C10)</f>
        <v>6</v>
      </c>
      <c r="D11" s="512">
        <f>SUM(D7:D10)</f>
        <v>1</v>
      </c>
    </row>
    <row r="13" spans="1:6">
      <c r="A13" s="1" t="s">
        <v>23</v>
      </c>
      <c r="B13" s="1"/>
      <c r="C13" s="1" t="s">
        <v>5</v>
      </c>
      <c r="D13" s="1" t="s">
        <v>6</v>
      </c>
    </row>
    <row r="14" spans="1:6" ht="14.4">
      <c r="A14" s="86" t="str">
        <f>HYPERLINK("#'WC MR 1'!A1","WC MR 1")</f>
        <v>WC MR 1</v>
      </c>
      <c r="B14" s="23" t="s">
        <v>25</v>
      </c>
      <c r="C14" s="24" t="s">
        <v>9</v>
      </c>
      <c r="D14" s="24" t="str">
        <f>IF('WC MR 1'!E3="COMPLIANT","COMPLIANT","")</f>
        <v>COMPLIANT</v>
      </c>
    </row>
    <row r="15" spans="1:6" ht="14.4">
      <c r="A15" s="86" t="str">
        <f>HYPERLINK("#'WC MR 2'!A1","WC MR 2")</f>
        <v>WC MR 2</v>
      </c>
      <c r="B15" s="23" t="s">
        <v>27</v>
      </c>
      <c r="C15" s="24" t="s">
        <v>9</v>
      </c>
      <c r="D15" s="24" t="str">
        <f>IF('WC MR 2'!J1="COMPLIANT","COMPLIANT","")</f>
        <v/>
      </c>
    </row>
    <row r="16" spans="1:6" ht="14.4">
      <c r="A16" s="86" t="str">
        <f>HYPERLINK("#'WC CR 1'!A1","WC CR 1")</f>
        <v>WC CR 1</v>
      </c>
      <c r="B16" s="23" t="s">
        <v>28</v>
      </c>
      <c r="C16" s="24">
        <v>3</v>
      </c>
      <c r="D16" s="514">
        <f>'WC CR 1'!C1</f>
        <v>0</v>
      </c>
    </row>
    <row r="17" spans="1:4" ht="14.4">
      <c r="A17" s="86" t="str">
        <f>HYPERLINK("#'WC CR 2'!A1","WC CR 2")</f>
        <v>WC CR 2</v>
      </c>
      <c r="B17" s="23" t="s">
        <v>30</v>
      </c>
      <c r="C17" s="24">
        <v>4</v>
      </c>
      <c r="D17" s="514">
        <f>'WC CR 2'!E1</f>
        <v>0</v>
      </c>
    </row>
    <row r="18" spans="1:4" ht="14.4">
      <c r="A18" s="86" t="str">
        <f>HYPERLINK("#'WC CR 3'!A1","WC CR 3")</f>
        <v>WC CR 3</v>
      </c>
      <c r="B18" s="23" t="s">
        <v>32</v>
      </c>
      <c r="C18" s="24">
        <v>2</v>
      </c>
      <c r="D18" s="514">
        <f>'WC CR 3'!D1</f>
        <v>1</v>
      </c>
    </row>
    <row r="19" spans="1:4" ht="14.4">
      <c r="A19" s="86" t="str">
        <f>HYPERLINK("#'WC CR 4'!A1","WC CR 4")</f>
        <v>WC CR 4</v>
      </c>
      <c r="B19" s="23" t="s">
        <v>34</v>
      </c>
      <c r="C19" s="24">
        <v>2</v>
      </c>
      <c r="D19" s="514">
        <f>'WC CR 4'!D1</f>
        <v>0</v>
      </c>
    </row>
    <row r="20" spans="1:4" ht="14.4">
      <c r="A20" s="86" t="str">
        <f>HYPERLINK("#'WC CR 5'!A1","WC CR 5")</f>
        <v>WC CR 5</v>
      </c>
      <c r="B20" s="23" t="s">
        <v>36</v>
      </c>
      <c r="C20" s="24">
        <v>1</v>
      </c>
      <c r="D20" s="514">
        <f>'WC CR 5'!D1</f>
        <v>0</v>
      </c>
    </row>
    <row r="21" spans="1:4" ht="14.4">
      <c r="A21" s="86" t="str">
        <f>HYPERLINK("#'WC CR 6'!A1","WC CR 6")</f>
        <v>WC CR 6</v>
      </c>
      <c r="B21" s="23" t="s">
        <v>38</v>
      </c>
      <c r="C21" s="24">
        <v>1</v>
      </c>
      <c r="D21" s="514">
        <f>'WC CR 6'!C1</f>
        <v>0</v>
      </c>
    </row>
    <row r="22" spans="1:4" ht="14.4">
      <c r="A22" s="86" t="str">
        <f>HYPERLINK("#'WC CR 7'!A1","WC CR 7")</f>
        <v>WC CR 7</v>
      </c>
      <c r="B22" s="23" t="s">
        <v>40</v>
      </c>
      <c r="C22" s="24">
        <v>3</v>
      </c>
      <c r="D22" s="514">
        <f>'WC CR 7'!C1</f>
        <v>0</v>
      </c>
    </row>
    <row r="23" spans="1:4" ht="14.4">
      <c r="A23" s="86" t="str">
        <f>HYPERLINK("#'WC CR 8'!A1","WC CR 8")</f>
        <v>WC CR 8</v>
      </c>
      <c r="B23" s="23" t="s">
        <v>42</v>
      </c>
      <c r="C23" s="24">
        <v>3</v>
      </c>
      <c r="D23" s="514">
        <f>'WC CR 8'!C1</f>
        <v>2</v>
      </c>
    </row>
    <row r="24" spans="1:4">
      <c r="A24" s="557" t="s">
        <v>22</v>
      </c>
      <c r="B24" s="557"/>
      <c r="C24" s="21">
        <f>SUM(C16:C23)</f>
        <v>19</v>
      </c>
      <c r="D24" s="512">
        <f>D23+D22+D21+D20+D19+D17+D18+D16</f>
        <v>3</v>
      </c>
    </row>
    <row r="26" spans="1:4">
      <c r="A26" s="1" t="s">
        <v>43</v>
      </c>
      <c r="B26" s="1"/>
      <c r="C26" s="1" t="s">
        <v>5</v>
      </c>
      <c r="D26" s="1" t="s">
        <v>6</v>
      </c>
    </row>
    <row r="27" spans="1:4" ht="14.4">
      <c r="A27" s="87" t="str">
        <f>HYPERLINK("#'EE MR 1'!A1","EE MR 1")</f>
        <v>EE MR 1</v>
      </c>
      <c r="B27" s="23" t="s">
        <v>45</v>
      </c>
      <c r="C27" s="24" t="s">
        <v>9</v>
      </c>
      <c r="D27" s="24" t="str">
        <f>IF('EE MR 1'!D3="COMPLIANT","COMPLIANT","")</f>
        <v/>
      </c>
    </row>
    <row r="28" spans="1:4" ht="14.4">
      <c r="A28" s="87" t="str">
        <f>HYPERLINK("#'EE MR 2'!A1","EE MR 2")</f>
        <v>EE MR 2</v>
      </c>
      <c r="B28" s="23" t="s">
        <v>47</v>
      </c>
      <c r="C28" s="24" t="s">
        <v>9</v>
      </c>
      <c r="D28" s="24" t="str">
        <f>IF('EE MR 2'!M3="COMPLIANT","COMPLIANT","")</f>
        <v>COMPLIANT</v>
      </c>
    </row>
    <row r="29" spans="1:4" ht="14.4">
      <c r="A29" s="87" t="str">
        <f>HYPERLINK("#'EE MR 3'!A1","EE MR 3")</f>
        <v>EE MR 3</v>
      </c>
      <c r="B29" s="23" t="s">
        <v>49</v>
      </c>
      <c r="C29" s="24" t="s">
        <v>9</v>
      </c>
      <c r="D29" s="24" t="str">
        <f>IF('EE MR 3'!E3="COMPLIANT","COMPLIANT","")</f>
        <v/>
      </c>
    </row>
    <row r="30" spans="1:4" ht="14.4">
      <c r="A30" s="87" t="str">
        <f>HYPERLINK("#'EE CR 1'!A1","EE CR 1")</f>
        <v>EE CR 1</v>
      </c>
      <c r="B30" s="23" t="s">
        <v>51</v>
      </c>
      <c r="C30" s="24">
        <v>1</v>
      </c>
      <c r="D30" s="24">
        <f>'EE CR 1'!C1</f>
        <v>0</v>
      </c>
    </row>
    <row r="31" spans="1:4" ht="14.4">
      <c r="A31" s="87" t="str">
        <f>HYPERLINK("#'EE CR 2'!A1","EE CR 2")</f>
        <v>EE CR 2</v>
      </c>
      <c r="B31" s="23" t="s">
        <v>53</v>
      </c>
      <c r="C31" s="24">
        <v>8</v>
      </c>
      <c r="D31" s="24">
        <f>'EE CR 2'!I1</f>
        <v>0</v>
      </c>
    </row>
    <row r="32" spans="1:4" ht="14.4">
      <c r="A32" s="87" t="str">
        <f>HYPERLINK("#'EE CR 3'!A1","EE CR 3")</f>
        <v>EE CR 3</v>
      </c>
      <c r="B32" s="23" t="s">
        <v>55</v>
      </c>
      <c r="C32" s="24">
        <v>3</v>
      </c>
      <c r="D32" s="24">
        <f>'EE CR 3'!C1</f>
        <v>1</v>
      </c>
    </row>
    <row r="33" spans="1:4" ht="14.4">
      <c r="A33" s="87" t="str">
        <f>HYPERLINK("#'EE CR 4'!A1","EE CR 4")</f>
        <v>EE CR 4</v>
      </c>
      <c r="B33" s="23" t="s">
        <v>57</v>
      </c>
      <c r="C33" s="24">
        <v>1</v>
      </c>
      <c r="D33" s="24">
        <f>'EE CR 4'!C1</f>
        <v>0</v>
      </c>
    </row>
    <row r="34" spans="1:4" ht="14.4">
      <c r="A34" s="87" t="str">
        <f>HYPERLINK("#'EE CR 5'!A1","EE CR 5")</f>
        <v>EE CR 5</v>
      </c>
      <c r="B34" s="23" t="s">
        <v>59</v>
      </c>
      <c r="C34" s="24">
        <v>2</v>
      </c>
      <c r="D34" s="24">
        <f>'EE CR 5'!C1</f>
        <v>0</v>
      </c>
    </row>
    <row r="35" spans="1:4" ht="14.4">
      <c r="A35" s="87" t="str">
        <f>HYPERLINK("#'EE CR 6'!A1","EE CR 6")</f>
        <v>EE CR 6</v>
      </c>
      <c r="B35" s="23" t="s">
        <v>61</v>
      </c>
      <c r="C35" s="24">
        <v>1</v>
      </c>
      <c r="D35" s="24">
        <f>'EE CR 6'!D1</f>
        <v>0</v>
      </c>
    </row>
    <row r="36" spans="1:4" ht="14.4">
      <c r="A36" s="87" t="str">
        <f>HYPERLINK("#'EE CR 7'!A1","EE CR 7")</f>
        <v>EE CR 7</v>
      </c>
      <c r="B36" s="23" t="s">
        <v>63</v>
      </c>
      <c r="C36" s="24">
        <v>1</v>
      </c>
      <c r="D36" s="24">
        <f>'EE CR 7'!C1</f>
        <v>0</v>
      </c>
    </row>
    <row r="37" spans="1:4" ht="14.4">
      <c r="A37" s="87" t="str">
        <f>HYPERLINK("#'EE CR 8'!A1","EE CR 8")</f>
        <v>EE CR 8</v>
      </c>
      <c r="B37" s="23" t="s">
        <v>65</v>
      </c>
      <c r="C37" s="24">
        <v>2</v>
      </c>
      <c r="D37" s="24">
        <f>'EE CR 8'!C1</f>
        <v>0</v>
      </c>
    </row>
    <row r="38" spans="1:4" ht="14.4">
      <c r="A38" s="87" t="str">
        <f>HYPERLINK("#'EE CR 9'!A1","EE CR 9")</f>
        <v>EE CR 9</v>
      </c>
      <c r="B38" s="23" t="s">
        <v>67</v>
      </c>
      <c r="C38" s="24">
        <v>2</v>
      </c>
      <c r="D38" s="24">
        <f>'EE CR 9'!C1</f>
        <v>0</v>
      </c>
    </row>
    <row r="39" spans="1:4" ht="14.4">
      <c r="A39" s="88" t="str">
        <f>HYPERLINK("#'EE CR 10'!A1","EE CR 10")</f>
        <v>EE CR 10</v>
      </c>
      <c r="B39" s="23" t="s">
        <v>69</v>
      </c>
      <c r="C39" s="24">
        <v>3</v>
      </c>
      <c r="D39" s="24">
        <f>'EE CR 10'!C1</f>
        <v>0</v>
      </c>
    </row>
    <row r="40" spans="1:4">
      <c r="A40" s="557" t="s">
        <v>22</v>
      </c>
      <c r="B40" s="557"/>
      <c r="C40" s="21">
        <f>SUM(C27:C39)</f>
        <v>24</v>
      </c>
      <c r="D40" s="512">
        <f>SUM(D30:D39)</f>
        <v>1</v>
      </c>
    </row>
    <row r="42" spans="1:4">
      <c r="A42" s="1" t="s">
        <v>70</v>
      </c>
      <c r="B42" s="1"/>
      <c r="C42" s="1" t="s">
        <v>5</v>
      </c>
      <c r="D42" s="1" t="s">
        <v>6</v>
      </c>
    </row>
    <row r="43" spans="1:4" ht="14.4">
      <c r="A43" s="86" t="str">
        <f>HYPERLINK("#'MS MR 1'!A1","MS MR 1")</f>
        <v>MS MR 1</v>
      </c>
      <c r="B43" s="23" t="s">
        <v>72</v>
      </c>
      <c r="C43" s="24" t="s">
        <v>9</v>
      </c>
      <c r="D43" s="24" t="str">
        <f>IF('MS MR 1'!D3="COMPLIANT","COMPLIANT","")</f>
        <v/>
      </c>
    </row>
    <row r="44" spans="1:4" ht="14.4">
      <c r="A44" s="86" t="str">
        <f>HYPERLINK("#'MS CR 1'!A1","MS CR 1")</f>
        <v>MS CR 1</v>
      </c>
      <c r="B44" s="23" t="s">
        <v>74</v>
      </c>
      <c r="C44" s="24">
        <v>2</v>
      </c>
      <c r="D44" s="24">
        <f>'MS CR 1'!C1</f>
        <v>0</v>
      </c>
    </row>
    <row r="45" spans="1:4" ht="14.4">
      <c r="A45" s="86" t="str">
        <f>HYPERLINK("#'MS CR 2'!A1","MS CR 2")</f>
        <v>MS CR 2</v>
      </c>
      <c r="B45" s="23" t="s">
        <v>76</v>
      </c>
      <c r="C45" s="24">
        <v>2</v>
      </c>
      <c r="D45" s="24">
        <f>'MS CR 2'!D1</f>
        <v>2</v>
      </c>
    </row>
    <row r="46" spans="1:4" ht="14.4">
      <c r="A46" s="86" t="str">
        <f>HYPERLINK("#'MS CR 3'!A1","MS CR 3")</f>
        <v>MS CR 3</v>
      </c>
      <c r="B46" s="23" t="s">
        <v>78</v>
      </c>
      <c r="C46" s="24">
        <v>2</v>
      </c>
      <c r="D46" s="24">
        <f>'MS CR 3'!C1</f>
        <v>0</v>
      </c>
    </row>
    <row r="47" spans="1:4" ht="14.4">
      <c r="A47" s="86" t="str">
        <f>HYPERLINK("#'MS CR 4'!A1","MS CR 4")</f>
        <v>MS CR 4</v>
      </c>
      <c r="B47" s="23" t="s">
        <v>80</v>
      </c>
      <c r="C47" s="24">
        <v>2</v>
      </c>
      <c r="D47" s="24">
        <f>'MS CR 4'!C1</f>
        <v>0</v>
      </c>
    </row>
    <row r="48" spans="1:4">
      <c r="A48" s="557" t="s">
        <v>22</v>
      </c>
      <c r="B48" s="557"/>
      <c r="C48" s="21">
        <f>SUM(C43:C47)</f>
        <v>8</v>
      </c>
      <c r="D48" s="512">
        <f>SUM(D44:D47)</f>
        <v>2</v>
      </c>
    </row>
    <row r="50" spans="1:4">
      <c r="A50" s="1" t="s">
        <v>81</v>
      </c>
      <c r="B50" s="1"/>
      <c r="C50" s="1" t="s">
        <v>5</v>
      </c>
      <c r="D50" s="1" t="s">
        <v>6</v>
      </c>
    </row>
    <row r="51" spans="1:4" ht="14.4">
      <c r="A51" s="86" t="str">
        <f>HYPERLINK("#'CN CR 2'!A1","CN CR 2")</f>
        <v>CN CR 2</v>
      </c>
      <c r="B51" s="23" t="s">
        <v>83</v>
      </c>
      <c r="C51" s="24">
        <v>5</v>
      </c>
      <c r="D51" s="24">
        <f>'CN CR 2'!C1</f>
        <v>0</v>
      </c>
    </row>
    <row r="52" spans="1:4" ht="14.4">
      <c r="A52" s="86" t="str">
        <f>HYPERLINK("#'CN CR 3'!A1","CN CR 3")</f>
        <v>CN CR 3</v>
      </c>
      <c r="B52" s="23" t="s">
        <v>85</v>
      </c>
      <c r="C52" s="24">
        <v>2</v>
      </c>
      <c r="D52" s="24">
        <f>'CN CR 3'!C1</f>
        <v>1</v>
      </c>
    </row>
    <row r="53" spans="1:4" ht="14.4">
      <c r="A53" s="86" t="str">
        <f>HYPERLINK("#'CN CR 4'!A1","CN CR 4")</f>
        <v>CN CR 4</v>
      </c>
      <c r="B53" s="23" t="s">
        <v>87</v>
      </c>
      <c r="C53" s="24">
        <v>2</v>
      </c>
      <c r="D53" s="24">
        <f>'CN CR 4'!C1</f>
        <v>0</v>
      </c>
    </row>
    <row r="54" spans="1:4" ht="14.4">
      <c r="A54" s="86" t="str">
        <f>HYPERLINK("#'CN CR 5'!A1","CN CR 5")</f>
        <v>CN CR 5</v>
      </c>
      <c r="B54" s="23" t="s">
        <v>89</v>
      </c>
      <c r="C54" s="24">
        <v>2</v>
      </c>
      <c r="D54" s="24">
        <f>'CN CR 5'!C1</f>
        <v>0</v>
      </c>
    </row>
    <row r="55" spans="1:4">
      <c r="A55" s="557" t="s">
        <v>22</v>
      </c>
      <c r="B55" s="557"/>
      <c r="C55" s="21">
        <f>SUM(C51:C54)</f>
        <v>11</v>
      </c>
      <c r="D55" s="512">
        <f>SUM(D51:D54)</f>
        <v>1</v>
      </c>
    </row>
    <row r="57" spans="1:4">
      <c r="A57" s="1" t="s">
        <v>90</v>
      </c>
      <c r="B57" s="1"/>
      <c r="C57" s="1" t="s">
        <v>5</v>
      </c>
      <c r="D57" s="1" t="s">
        <v>6</v>
      </c>
    </row>
    <row r="58" spans="1:4" ht="14.4">
      <c r="A58" s="86" t="str">
        <f>HYPERLINK("#'EGW MR 1'!A1","EGW MR 1")</f>
        <v>EGW MR 1</v>
      </c>
      <c r="B58" s="23" t="s">
        <v>92</v>
      </c>
      <c r="C58" s="24" t="s">
        <v>9</v>
      </c>
      <c r="D58" s="24" t="str">
        <f>IF('EGW MR 1'!K3="COMPLIANT","COMPLIANT","")</f>
        <v/>
      </c>
    </row>
    <row r="59" spans="1:4" ht="14.4">
      <c r="A59" s="86" t="str">
        <f>HYPERLINK("#'EGW MR 2'!A1","EGW MR 2")</f>
        <v>EGW MR 2</v>
      </c>
      <c r="B59" s="23" t="s">
        <v>94</v>
      </c>
      <c r="C59" s="24" t="s">
        <v>9</v>
      </c>
      <c r="D59" s="24" t="str">
        <f>IF('EGW MR 2'!D3="COMPLIANT","COMPLIANT","")</f>
        <v>COMPLIANT</v>
      </c>
    </row>
    <row r="60" spans="1:4" ht="14.4">
      <c r="A60" s="86" t="str">
        <f>HYPERLINK("#'EGW CR 1'!A1","EGW CR 1")</f>
        <v>EGW CR 1</v>
      </c>
      <c r="B60" s="23" t="s">
        <v>96</v>
      </c>
      <c r="C60" s="24">
        <v>1</v>
      </c>
      <c r="D60" s="24">
        <f>'EGW CR 1'!D1</f>
        <v>0</v>
      </c>
    </row>
    <row r="61" spans="1:4" ht="14.4">
      <c r="A61" s="86" t="str">
        <f>HYPERLINK("#'EGW CR 2'!A1","EGW CR 2")</f>
        <v>EGW CR 2</v>
      </c>
      <c r="B61" s="23" t="s">
        <v>98</v>
      </c>
      <c r="C61" s="24">
        <v>1</v>
      </c>
      <c r="D61" s="24">
        <f>'EGW CR 2'!C1</f>
        <v>0</v>
      </c>
    </row>
    <row r="62" spans="1:4" ht="14.4">
      <c r="A62" s="86" t="str">
        <f>HYPERLINK("#'EGW CR 4'!A1","EGW CR 4")</f>
        <v>EGW CR 4</v>
      </c>
      <c r="B62" s="23" t="s">
        <v>100</v>
      </c>
      <c r="C62" s="24">
        <v>3</v>
      </c>
      <c r="D62" s="24">
        <f>'EGW CR 4'!C1</f>
        <v>0</v>
      </c>
    </row>
    <row r="63" spans="1:4" ht="14.4">
      <c r="A63" s="86" t="str">
        <f>HYPERLINK("#'EGW CR 5'!A1","EGW CR 5")</f>
        <v>EGW CR 5</v>
      </c>
      <c r="B63" s="23" t="s">
        <v>102</v>
      </c>
      <c r="C63" s="24">
        <v>1</v>
      </c>
      <c r="D63" s="24">
        <f>'EGW CR 5'!C1</f>
        <v>0</v>
      </c>
    </row>
    <row r="64" spans="1:4" ht="14.4">
      <c r="A64" s="86" t="str">
        <f>HYPERLINK("#'EGW CR 6'!A1","EGW CR 6")</f>
        <v>EGW CR 6</v>
      </c>
      <c r="B64" s="23" t="s">
        <v>104</v>
      </c>
      <c r="C64" s="24">
        <v>1</v>
      </c>
      <c r="D64" s="24">
        <f>'EGW CR 6'!C1</f>
        <v>0</v>
      </c>
    </row>
    <row r="65" spans="1:4" ht="14.4">
      <c r="A65" s="86" t="str">
        <f>HYPERLINK("#'EGW CR 7'!A1","EGW CR 7")</f>
        <v>EGW CR 7</v>
      </c>
      <c r="B65" s="23" t="s">
        <v>106</v>
      </c>
      <c r="C65" s="24">
        <v>3</v>
      </c>
      <c r="D65" s="24">
        <f>'EGW CR 7'!D1</f>
        <v>0</v>
      </c>
    </row>
    <row r="66" spans="1:4" ht="14.4">
      <c r="A66" s="86" t="str">
        <f>HYPERLINK("#'EGW CR 8'!A1","EGW CR 8")</f>
        <v>EGW CR 8</v>
      </c>
      <c r="B66" s="23" t="s">
        <v>108</v>
      </c>
      <c r="C66" s="24">
        <v>1</v>
      </c>
      <c r="D66" s="24">
        <f>'EGW CR 8'!C1</f>
        <v>0</v>
      </c>
    </row>
    <row r="67" spans="1:4" ht="14.4">
      <c r="A67" s="86" t="str">
        <f>HYPERLINK("#'EGW CR 9'!A1","EGW CR 9")</f>
        <v>EGW CR 9</v>
      </c>
      <c r="B67" s="23" t="s">
        <v>110</v>
      </c>
      <c r="C67" s="24">
        <v>2</v>
      </c>
      <c r="D67" s="24">
        <f>'EGW CR 9'!C1</f>
        <v>1</v>
      </c>
    </row>
    <row r="68" spans="1:4">
      <c r="A68" s="557" t="s">
        <v>22</v>
      </c>
      <c r="B68" s="557"/>
      <c r="C68" s="21">
        <f>SUM(C58:C67)</f>
        <v>13</v>
      </c>
      <c r="D68" s="512">
        <f>SUM(D60:D67)</f>
        <v>1</v>
      </c>
    </row>
    <row r="70" spans="1:4">
      <c r="A70" s="1" t="s">
        <v>111</v>
      </c>
      <c r="B70" s="1"/>
      <c r="C70" s="1" t="s">
        <v>5</v>
      </c>
      <c r="D70" s="1" t="s">
        <v>6</v>
      </c>
    </row>
    <row r="71" spans="1:4" ht="14.4">
      <c r="A71" s="86" t="str">
        <f>HYPERLINK("#'HFB CR 1'!A1","HFB CR 1")</f>
        <v>HFB CR 1</v>
      </c>
      <c r="B71" s="23" t="s">
        <v>113</v>
      </c>
      <c r="C71" s="24">
        <v>1</v>
      </c>
      <c r="D71" s="24">
        <f>'HFB CR 1'!C1</f>
        <v>0</v>
      </c>
    </row>
    <row r="72" spans="1:4" ht="14.4">
      <c r="A72" s="86" t="str">
        <f>HYPERLINK("#'HFB CR 2'!A1","HFB CR 2")</f>
        <v>HFB CR 2</v>
      </c>
      <c r="B72" s="23" t="s">
        <v>115</v>
      </c>
      <c r="C72" s="24">
        <v>2</v>
      </c>
      <c r="D72" s="24">
        <f>'HFB CR 2'!C1</f>
        <v>2</v>
      </c>
    </row>
    <row r="73" spans="1:4" ht="14.4">
      <c r="A73" s="86" t="str">
        <f>HYPERLINK("#'HFB CR 3'!A1","HFB CR 3")</f>
        <v>HFB CR 3</v>
      </c>
      <c r="B73" s="23" t="s">
        <v>117</v>
      </c>
      <c r="C73" s="24">
        <v>3</v>
      </c>
      <c r="D73" s="24">
        <f>'HFB CR 3'!C1</f>
        <v>0</v>
      </c>
    </row>
    <row r="74" spans="1:4">
      <c r="A74" s="557" t="s">
        <v>22</v>
      </c>
      <c r="B74" s="557"/>
      <c r="C74" s="21">
        <f>SUM(C71:C73)</f>
        <v>6</v>
      </c>
      <c r="D74" s="21">
        <f>SUM(D71:D73)</f>
        <v>2</v>
      </c>
    </row>
    <row r="76" spans="1:4">
      <c r="A76" s="1" t="s">
        <v>118</v>
      </c>
      <c r="B76" s="1"/>
      <c r="C76" s="1" t="s">
        <v>5</v>
      </c>
      <c r="D76" s="1" t="s">
        <v>6</v>
      </c>
    </row>
    <row r="77" spans="1:4" ht="14.4">
      <c r="A77" s="86" t="str">
        <f>HYPERLINK("#'GH CR 1'!A1","GH CR 1")</f>
        <v>GH CR 1</v>
      </c>
      <c r="B77" s="23" t="s">
        <v>120</v>
      </c>
      <c r="C77" s="24">
        <v>2</v>
      </c>
      <c r="D77" s="24">
        <f>'GH CR 1'!D1</f>
        <v>0</v>
      </c>
    </row>
    <row r="78" spans="1:4" ht="14.4">
      <c r="A78" s="86" t="str">
        <f>HYPERLINK("#'GH CR 2'!A1","GH CR 2")</f>
        <v>GH CR 2</v>
      </c>
      <c r="B78" s="23" t="s">
        <v>122</v>
      </c>
      <c r="C78" s="24">
        <v>1</v>
      </c>
      <c r="D78" s="24">
        <f>'GH CR 2'!C1</f>
        <v>1</v>
      </c>
    </row>
    <row r="79" spans="1:4" ht="14.4">
      <c r="A79" s="86" t="str">
        <f>HYPERLINK("#'GH CR 3'!A1","GH CR 3")</f>
        <v>GH CR 3</v>
      </c>
      <c r="B79" s="23" t="s">
        <v>124</v>
      </c>
      <c r="C79" s="24">
        <v>2</v>
      </c>
      <c r="D79" s="24">
        <f>'GH CR 3'!C1</f>
        <v>0</v>
      </c>
    </row>
    <row r="80" spans="1:4" ht="14.4">
      <c r="A80" s="86" t="str">
        <f>HYPERLINK("#'GH CR 4'!A1","GH CR 4")</f>
        <v>GH CR 4</v>
      </c>
      <c r="B80" s="23" t="s">
        <v>126</v>
      </c>
      <c r="C80" s="24">
        <v>1</v>
      </c>
      <c r="D80" s="24">
        <f>'GH CR 4'!C1</f>
        <v>0</v>
      </c>
    </row>
    <row r="81" spans="1:4" ht="14.4">
      <c r="A81" s="86" t="str">
        <f>HYPERLINK("#'GH CR 5'!A1","GH CR 5")</f>
        <v>GH CR 5</v>
      </c>
      <c r="B81" s="23" t="s">
        <v>128</v>
      </c>
      <c r="C81" s="24">
        <v>1</v>
      </c>
      <c r="D81" s="24">
        <f>'GH CR 5'!C1</f>
        <v>0</v>
      </c>
    </row>
    <row r="82" spans="1:4">
      <c r="A82" s="557" t="s">
        <v>22</v>
      </c>
      <c r="B82" s="557"/>
      <c r="C82" s="21">
        <f>SUM(C77:C81)</f>
        <v>7</v>
      </c>
      <c r="D82" s="512">
        <f>SUM(D77:D81)</f>
        <v>1</v>
      </c>
    </row>
    <row r="84" spans="1:4">
      <c r="A84" s="1" t="s">
        <v>129</v>
      </c>
      <c r="B84" s="1"/>
      <c r="C84" s="1" t="s">
        <v>5</v>
      </c>
      <c r="D84" s="1" t="s">
        <v>6</v>
      </c>
    </row>
    <row r="85" spans="1:4" ht="14.4">
      <c r="A85" s="86" t="str">
        <f>HYPERLINK("#'INN CR 1'!A1","INN CR 1")</f>
        <v>INN CR 1</v>
      </c>
      <c r="B85" s="23" t="s">
        <v>129</v>
      </c>
      <c r="C85" s="24">
        <v>4</v>
      </c>
      <c r="D85" s="24">
        <f>'INN CR 1'!C1</f>
        <v>4</v>
      </c>
    </row>
    <row r="86" spans="1:4" ht="14.4">
      <c r="A86" s="86" t="str">
        <f>HYPERLINK("#'INN CR 2'!A1","INN CR 2")</f>
        <v>INN CR 2</v>
      </c>
      <c r="B86" s="23" t="s">
        <v>132</v>
      </c>
      <c r="C86" s="24">
        <v>2</v>
      </c>
      <c r="D86" s="24">
        <f>'INN CR 2'!C1</f>
        <v>0</v>
      </c>
    </row>
    <row r="87" spans="1:4">
      <c r="A87" s="557" t="s">
        <v>22</v>
      </c>
      <c r="B87" s="557"/>
      <c r="C87" s="21">
        <f>SUM(C85:C86)</f>
        <v>6</v>
      </c>
      <c r="D87" s="512">
        <f>SUM(D85:D86)</f>
        <v>4</v>
      </c>
    </row>
    <row r="88" spans="1:4">
      <c r="A88" s="559" t="s">
        <v>133</v>
      </c>
      <c r="B88" s="559"/>
      <c r="C88" s="22">
        <v>100</v>
      </c>
      <c r="D88" s="513">
        <f>D87+D82+D74+D68+D55+D48+D40+D24+D11</f>
        <v>16</v>
      </c>
    </row>
    <row r="90" spans="1:4">
      <c r="A90" s="554" t="s">
        <v>870</v>
      </c>
      <c r="B90" s="554"/>
      <c r="C90" s="34" t="s">
        <v>871</v>
      </c>
      <c r="D90" s="34" t="s">
        <v>983</v>
      </c>
    </row>
    <row r="91" spans="1:4" ht="17.399999999999999">
      <c r="A91" s="555" t="s">
        <v>872</v>
      </c>
      <c r="B91" s="555"/>
      <c r="C91" s="35" t="s">
        <v>876</v>
      </c>
      <c r="D91" s="36" t="str">
        <f>IF(AND($D$88&gt;=50,$D$88&lt;=59),"✓","")</f>
        <v/>
      </c>
    </row>
    <row r="92" spans="1:4">
      <c r="A92" s="555" t="s">
        <v>873</v>
      </c>
      <c r="B92" s="555"/>
      <c r="C92" s="35" t="s">
        <v>877</v>
      </c>
      <c r="D92" s="35" t="str">
        <f>IF(AND($D$88&gt;=60,$D$88&lt;=69),"✓","")</f>
        <v/>
      </c>
    </row>
    <row r="93" spans="1:4">
      <c r="A93" s="555" t="s">
        <v>874</v>
      </c>
      <c r="B93" s="555"/>
      <c r="C93" s="35" t="s">
        <v>878</v>
      </c>
      <c r="D93" s="35" t="str">
        <f>IF(AND($D$88&gt;=70,$D$88&lt;=79),"✓","")</f>
        <v/>
      </c>
    </row>
    <row r="94" spans="1:4">
      <c r="A94" s="555" t="s">
        <v>875</v>
      </c>
      <c r="B94" s="555"/>
      <c r="C94" s="35" t="s">
        <v>879</v>
      </c>
      <c r="D94" s="35" t="str">
        <f>IF(AND($D$88&gt;=80,$D$88&lt;=100),"✓","")</f>
        <v/>
      </c>
    </row>
  </sheetData>
  <mergeCells count="17">
    <mergeCell ref="A88:B88"/>
    <mergeCell ref="A55:B55"/>
    <mergeCell ref="A68:B68"/>
    <mergeCell ref="A74:B74"/>
    <mergeCell ref="A82:B82"/>
    <mergeCell ref="A87:B87"/>
    <mergeCell ref="A1:D1"/>
    <mergeCell ref="A11:B11"/>
    <mergeCell ref="A24:B24"/>
    <mergeCell ref="A40:B40"/>
    <mergeCell ref="A48:B48"/>
    <mergeCell ref="A2:D2"/>
    <mergeCell ref="A90:B90"/>
    <mergeCell ref="A91:B91"/>
    <mergeCell ref="A92:B92"/>
    <mergeCell ref="A93:B93"/>
    <mergeCell ref="A94:B9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32"/>
  <sheetViews>
    <sheetView topLeftCell="A4" workbookViewId="0">
      <selection activeCell="B17" sqref="B17"/>
    </sheetView>
  </sheetViews>
  <sheetFormatPr defaultRowHeight="13.8"/>
  <cols>
    <col min="1" max="1" width="6" style="93" customWidth="1"/>
    <col min="2" max="2" width="39" style="93" customWidth="1"/>
    <col min="3" max="3" width="26" style="93" customWidth="1"/>
    <col min="4" max="4" width="22.3984375" style="93" customWidth="1"/>
    <col min="5" max="5" width="18" style="93" customWidth="1"/>
    <col min="6" max="16384" width="8.796875" style="93"/>
  </cols>
  <sheetData>
    <row r="1" spans="1:5" ht="17.399999999999999">
      <c r="A1" s="91" t="s">
        <v>134</v>
      </c>
      <c r="B1" s="92" t="s">
        <v>135</v>
      </c>
      <c r="D1" s="92"/>
      <c r="E1" s="92"/>
    </row>
    <row r="2" spans="1:5" ht="21">
      <c r="A2" s="94"/>
      <c r="B2" s="95" t="s">
        <v>8</v>
      </c>
      <c r="C2" s="95"/>
      <c r="D2" s="95"/>
      <c r="E2" s="95" t="s">
        <v>7</v>
      </c>
    </row>
    <row r="3" spans="1:5" ht="15" customHeight="1">
      <c r="A3" s="94"/>
      <c r="B3" s="563" t="s">
        <v>136</v>
      </c>
      <c r="C3" s="563"/>
      <c r="D3" s="564" t="str">
        <f>IF(AND(COUNTIF(E9:E14,"☑")=ROWS(E9:E14),E16="☑",IF('Project Info'!$C$9="NA",TRUE,E18="☑")),"COMPLIANT","PENDING")</f>
        <v>COMPLIANT</v>
      </c>
      <c r="E3" s="564" t="str">
        <f>HYPERLINK("#'Checklist'!A1","Go To Checklist")</f>
        <v>Go To Checklist</v>
      </c>
    </row>
    <row r="4" spans="1:5" ht="15" customHeight="1">
      <c r="A4" s="94"/>
      <c r="B4" s="96" t="s">
        <v>5</v>
      </c>
      <c r="C4" s="97"/>
      <c r="D4" s="97"/>
      <c r="E4" s="97" t="str">
        <f>HYPERLINK("#'Checklist'!A1","Go To Checklist")</f>
        <v>Go To Checklist</v>
      </c>
    </row>
    <row r="5" spans="1:5" ht="49.2" customHeight="1">
      <c r="A5" s="94"/>
      <c r="B5" s="565" t="s">
        <v>710</v>
      </c>
      <c r="C5" s="565"/>
      <c r="D5" s="565"/>
      <c r="E5" s="565"/>
    </row>
    <row r="6" spans="1:5" ht="15" customHeight="1">
      <c r="A6" s="94"/>
      <c r="B6" s="562" t="s">
        <v>918</v>
      </c>
      <c r="C6" s="562"/>
      <c r="D6" s="562"/>
      <c r="E6" s="98"/>
    </row>
    <row r="7" spans="1:5" ht="31.8" customHeight="1">
      <c r="A7" s="94"/>
      <c r="B7" s="529" t="s">
        <v>1384</v>
      </c>
      <c r="C7" s="529"/>
      <c r="D7" s="529"/>
      <c r="E7" s="99" t="s">
        <v>137</v>
      </c>
    </row>
    <row r="8" spans="1:5" ht="15" customHeight="1">
      <c r="A8" s="94"/>
      <c r="B8" s="92" t="s">
        <v>138</v>
      </c>
      <c r="C8" s="92"/>
      <c r="D8" s="92"/>
      <c r="E8" s="100"/>
    </row>
    <row r="9" spans="1:5" ht="15" customHeight="1">
      <c r="A9" s="94"/>
      <c r="B9" s="538" t="s">
        <v>1384</v>
      </c>
      <c r="C9" s="561"/>
      <c r="D9" s="561"/>
      <c r="E9" s="101" t="s">
        <v>134</v>
      </c>
    </row>
    <row r="10" spans="1:5" ht="15" customHeight="1">
      <c r="A10" s="94"/>
      <c r="B10" s="538" t="s">
        <v>140</v>
      </c>
      <c r="C10" s="561"/>
      <c r="D10" s="561"/>
      <c r="E10" s="101" t="s">
        <v>134</v>
      </c>
    </row>
    <row r="11" spans="1:5" ht="15" customHeight="1">
      <c r="A11" s="94"/>
      <c r="B11" s="538" t="s">
        <v>141</v>
      </c>
      <c r="C11" s="561"/>
      <c r="D11" s="561"/>
      <c r="E11" s="101" t="s">
        <v>134</v>
      </c>
    </row>
    <row r="12" spans="1:5" ht="15" customHeight="1">
      <c r="A12" s="94"/>
      <c r="B12" s="538" t="s">
        <v>142</v>
      </c>
      <c r="C12" s="561"/>
      <c r="D12" s="561"/>
      <c r="E12" s="101" t="s">
        <v>134</v>
      </c>
    </row>
    <row r="13" spans="1:5" ht="15" customHeight="1">
      <c r="A13" s="94"/>
      <c r="B13" s="538" t="str">
        <f>IF('Project Info'!$C$16&gt;=20000,"Environmental clearance certificate","")</f>
        <v/>
      </c>
      <c r="C13" s="561"/>
      <c r="D13" s="561"/>
      <c r="E13" s="101" t="s">
        <v>134</v>
      </c>
    </row>
    <row r="14" spans="1:5" ht="15" customHeight="1">
      <c r="A14" s="94"/>
      <c r="B14" s="538" t="str">
        <f>IF('Project Info'!C6="Yes","CRZ clearance from MoEFCC","")</f>
        <v/>
      </c>
      <c r="C14" s="561"/>
      <c r="D14" s="561"/>
      <c r="E14" s="101" t="s">
        <v>134</v>
      </c>
    </row>
    <row r="15" spans="1:5" ht="15" customHeight="1">
      <c r="A15" s="94"/>
      <c r="B15" s="92" t="s">
        <v>144</v>
      </c>
      <c r="C15" s="97"/>
      <c r="D15" s="97"/>
      <c r="E15" s="100"/>
    </row>
    <row r="16" spans="1:5" ht="15" customHeight="1">
      <c r="A16" s="94"/>
      <c r="B16" s="538" t="s">
        <v>145</v>
      </c>
      <c r="C16" s="561"/>
      <c r="D16" s="561"/>
      <c r="E16" s="101" t="s">
        <v>134</v>
      </c>
    </row>
    <row r="17" spans="1:5" ht="15" customHeight="1">
      <c r="A17" s="94"/>
      <c r="B17" s="92" t="str">
        <f>IF('Project Info'!$C$9="NA","","Option 3 - Hotel Star classification")</f>
        <v>Option 3 - Hotel Star classification</v>
      </c>
      <c r="C17" s="97"/>
      <c r="D17" s="97"/>
      <c r="E17" s="100"/>
    </row>
    <row r="18" spans="1:5" ht="15" customHeight="1">
      <c r="A18" s="94"/>
      <c r="B18" s="538" t="str">
        <f>IF('Project Info'!$C$9="NA","","Provide approval or classification certificate by Ministry of Tourism")</f>
        <v>Provide approval or classification certificate by Ministry of Tourism</v>
      </c>
      <c r="C18" s="561"/>
      <c r="D18" s="561"/>
      <c r="E18" s="101" t="s">
        <v>134</v>
      </c>
    </row>
    <row r="19" spans="1:5" ht="15" customHeight="1">
      <c r="A19" s="94"/>
      <c r="B19" s="97"/>
      <c r="C19" s="97"/>
      <c r="D19" s="97"/>
      <c r="E19" s="97"/>
    </row>
    <row r="20" spans="1:5" ht="15" customHeight="1">
      <c r="A20" s="94"/>
      <c r="B20" s="102" t="s">
        <v>1661</v>
      </c>
      <c r="C20" s="102"/>
      <c r="D20" s="102"/>
      <c r="E20" s="102"/>
    </row>
    <row r="21" spans="1:5" ht="15" customHeight="1">
      <c r="A21" s="103"/>
      <c r="B21" s="538" t="s">
        <v>488</v>
      </c>
      <c r="C21" s="538"/>
      <c r="D21" s="538"/>
      <c r="E21" s="101" t="s">
        <v>139</v>
      </c>
    </row>
    <row r="22" spans="1:5" ht="15" customHeight="1">
      <c r="A22" s="103"/>
      <c r="B22" s="538" t="s">
        <v>489</v>
      </c>
      <c r="C22" s="538"/>
      <c r="D22" s="538"/>
      <c r="E22" s="101" t="s">
        <v>139</v>
      </c>
    </row>
    <row r="23" spans="1:5" ht="15" customHeight="1">
      <c r="A23" s="103"/>
      <c r="B23" s="538" t="s">
        <v>490</v>
      </c>
      <c r="C23" s="538"/>
      <c r="D23" s="538"/>
      <c r="E23" s="101" t="s">
        <v>139</v>
      </c>
    </row>
    <row r="24" spans="1:5" ht="15" customHeight="1">
      <c r="A24" s="103"/>
      <c r="B24" s="538" t="s">
        <v>143</v>
      </c>
      <c r="C24" s="538"/>
      <c r="D24" s="538"/>
      <c r="E24" s="101" t="s">
        <v>139</v>
      </c>
    </row>
    <row r="25" spans="1:5" ht="15" customHeight="1">
      <c r="A25" s="103"/>
      <c r="B25" s="538" t="s">
        <v>491</v>
      </c>
      <c r="C25" s="538"/>
      <c r="D25" s="538"/>
      <c r="E25" s="101" t="s">
        <v>139</v>
      </c>
    </row>
    <row r="26" spans="1:5" ht="15" customHeight="1">
      <c r="A26" s="103"/>
      <c r="B26" s="538" t="s">
        <v>492</v>
      </c>
      <c r="C26" s="538"/>
      <c r="D26" s="538"/>
      <c r="E26" s="101" t="s">
        <v>139</v>
      </c>
    </row>
    <row r="27" spans="1:5" ht="31.2" customHeight="1">
      <c r="A27" s="103"/>
      <c r="B27" s="560" t="s">
        <v>493</v>
      </c>
      <c r="C27" s="560"/>
      <c r="D27" s="560"/>
      <c r="E27" s="101" t="s">
        <v>139</v>
      </c>
    </row>
    <row r="28" spans="1:5" ht="15" customHeight="1">
      <c r="A28" s="103"/>
      <c r="B28" s="531" t="s">
        <v>147</v>
      </c>
      <c r="C28" s="531"/>
      <c r="D28" s="531"/>
      <c r="E28" s="531"/>
    </row>
    <row r="29" spans="1:5" ht="15" customHeight="1">
      <c r="A29" s="103"/>
      <c r="B29" s="97"/>
      <c r="C29" s="97"/>
      <c r="D29" s="97"/>
      <c r="E29" s="97"/>
    </row>
    <row r="30" spans="1:5" ht="15" customHeight="1">
      <c r="A30" s="103"/>
      <c r="B30" s="97"/>
      <c r="C30" s="97"/>
      <c r="D30" s="97"/>
      <c r="E30" s="97"/>
    </row>
    <row r="31" spans="1:5" ht="15" customHeight="1">
      <c r="A31" s="103"/>
      <c r="B31" s="97"/>
      <c r="C31" s="97"/>
      <c r="D31" s="97"/>
      <c r="E31" s="97"/>
    </row>
    <row r="32" spans="1:5">
      <c r="A32" s="94"/>
      <c r="B32" s="97"/>
      <c r="C32" s="97"/>
      <c r="D32" s="97"/>
      <c r="E32" s="97"/>
    </row>
  </sheetData>
  <sheetProtection sheet="1" objects="1" scenarios="1"/>
  <mergeCells count="21">
    <mergeCell ref="B6:D6"/>
    <mergeCell ref="B9:D9"/>
    <mergeCell ref="B16:D16"/>
    <mergeCell ref="B18:D18"/>
    <mergeCell ref="B3:C3"/>
    <mergeCell ref="D3:E3"/>
    <mergeCell ref="B5:E5"/>
    <mergeCell ref="B7:D7"/>
    <mergeCell ref="B28:E28"/>
    <mergeCell ref="B27:D27"/>
    <mergeCell ref="B10:D10"/>
    <mergeCell ref="B11:D11"/>
    <mergeCell ref="B12:D12"/>
    <mergeCell ref="B13:D13"/>
    <mergeCell ref="B14:D14"/>
    <mergeCell ref="B25:D25"/>
    <mergeCell ref="B26:D26"/>
    <mergeCell ref="B21:D21"/>
    <mergeCell ref="B22:D22"/>
    <mergeCell ref="B23:D23"/>
    <mergeCell ref="B24:D24"/>
  </mergeCells>
  <conditionalFormatting sqref="D3:E3">
    <cfRule type="expression" dxfId="156" priority="14">
      <formula>D3="COMPLIANT"</formula>
    </cfRule>
    <cfRule type="expression" dxfId="155" priority="15">
      <formula>D3="PENDING"</formula>
    </cfRule>
  </conditionalFormatting>
  <dataValidations count="2">
    <dataValidation type="list" sqref="A1 E16 E9:E12 E21:E27" xr:uid="{00000000-0002-0000-0200-000000000000}">
      <formula1>"☐,☑"</formula1>
    </dataValidation>
    <dataValidation sqref="E13:E14 E18" xr:uid="{1D056555-0B2E-4D1C-B657-E4C9AEECFA93}"/>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5" id="{8109C4BD-E200-4955-BCED-C8A6FE21E5D1}">
            <xm:f>'Project Info'!$D$9="NA"</xm:f>
            <x14:dxf>
              <font>
                <color theme="0"/>
              </font>
            </x14:dxf>
          </x14:cfRule>
          <x14:cfRule type="expression" priority="6" id="{D36EC48C-FFBB-476E-BD7C-4BEBF151FCE8}">
            <xm:f>'Project Info'!$D$9="NA"</xm:f>
            <x14:dxf>
              <font>
                <color theme="0"/>
              </font>
            </x14:dxf>
          </x14:cfRule>
          <xm:sqref>B17:E17 B18:D18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E28"/>
  <sheetViews>
    <sheetView workbookViewId="0">
      <selection activeCell="A21" sqref="A21:A28"/>
    </sheetView>
  </sheetViews>
  <sheetFormatPr defaultRowHeight="13.8"/>
  <cols>
    <col min="1" max="1" width="6" style="93" customWidth="1"/>
    <col min="2" max="2" width="39" style="93" customWidth="1"/>
    <col min="3" max="4" width="26" style="93" customWidth="1"/>
    <col min="5" max="5" width="18" style="93" customWidth="1"/>
    <col min="6" max="16384" width="8.796875" style="93"/>
  </cols>
  <sheetData>
    <row r="1" spans="1:5" ht="15.3" customHeight="1">
      <c r="A1" s="91" t="s">
        <v>134</v>
      </c>
      <c r="B1" s="92" t="s">
        <v>135</v>
      </c>
      <c r="C1" s="92"/>
      <c r="D1" s="92"/>
      <c r="E1" s="92"/>
    </row>
    <row r="2" spans="1:5" ht="18" customHeight="1">
      <c r="A2" s="94"/>
      <c r="B2" s="95" t="s">
        <v>11</v>
      </c>
      <c r="C2" s="95"/>
      <c r="D2" s="95"/>
      <c r="E2" s="95" t="s">
        <v>10</v>
      </c>
    </row>
    <row r="3" spans="1:5">
      <c r="A3" s="94"/>
      <c r="B3" s="563" t="s">
        <v>136</v>
      </c>
      <c r="C3" s="563"/>
      <c r="D3" s="564" t="str">
        <f>IF(COUNTIF(E9:E19,"☐")&gt;0,"PENDING",IF(COUNTIF(E9:E19,"☑")&gt;0,"COMPLIANT","PENDING"))</f>
        <v>COMPLIANT</v>
      </c>
      <c r="E3" s="564" t="str">
        <f>HYPERLINK("#'Checklist'!A1","Go To Checklist")</f>
        <v>Go To Checklist</v>
      </c>
    </row>
    <row r="4" spans="1:5" ht="15.6">
      <c r="A4" s="94"/>
      <c r="B4" s="96" t="s">
        <v>5</v>
      </c>
      <c r="C4" s="97"/>
      <c r="D4" s="97"/>
      <c r="E4" s="97" t="str">
        <f>HYPERLINK("#'Checklist'!A1","Go To Checklist")</f>
        <v>Go To Checklist</v>
      </c>
    </row>
    <row r="5" spans="1:5" ht="44.4" customHeight="1">
      <c r="A5" s="94"/>
      <c r="B5" s="565" t="s">
        <v>710</v>
      </c>
      <c r="C5" s="565"/>
      <c r="D5" s="565"/>
      <c r="E5" s="565"/>
    </row>
    <row r="6" spans="1:5" ht="15" customHeight="1">
      <c r="A6" s="94"/>
      <c r="B6" s="562" t="s">
        <v>918</v>
      </c>
      <c r="C6" s="562"/>
      <c r="D6" s="562"/>
      <c r="E6" s="98"/>
    </row>
    <row r="7" spans="1:5" ht="15" customHeight="1">
      <c r="A7" s="94"/>
      <c r="B7" s="529" t="s">
        <v>1385</v>
      </c>
      <c r="C7" s="529"/>
      <c r="D7" s="529"/>
      <c r="E7" s="99" t="s">
        <v>137</v>
      </c>
    </row>
    <row r="8" spans="1:5" ht="15" customHeight="1">
      <c r="A8" s="94"/>
      <c r="B8" s="567" t="s">
        <v>148</v>
      </c>
      <c r="C8" s="567"/>
      <c r="D8" s="567"/>
      <c r="E8" s="100"/>
    </row>
    <row r="9" spans="1:5" ht="15" customHeight="1">
      <c r="A9" s="94"/>
      <c r="B9" s="538" t="s">
        <v>149</v>
      </c>
      <c r="C9" s="561"/>
      <c r="D9" s="561"/>
      <c r="E9" s="101" t="s">
        <v>134</v>
      </c>
    </row>
    <row r="10" spans="1:5" ht="30.6" customHeight="1">
      <c r="A10" s="94"/>
      <c r="B10" s="538" t="s">
        <v>1648</v>
      </c>
      <c r="C10" s="561"/>
      <c r="D10" s="561"/>
      <c r="E10" s="101" t="s">
        <v>134</v>
      </c>
    </row>
    <row r="11" spans="1:5" ht="30" customHeight="1">
      <c r="A11" s="94"/>
      <c r="B11" s="538" t="s">
        <v>1649</v>
      </c>
      <c r="C11" s="561"/>
      <c r="D11" s="561"/>
      <c r="E11" s="101" t="s">
        <v>134</v>
      </c>
    </row>
    <row r="12" spans="1:5" ht="18.600000000000001" customHeight="1">
      <c r="A12" s="94"/>
      <c r="B12" s="568" t="s">
        <v>1650</v>
      </c>
      <c r="C12" s="569"/>
      <c r="D12" s="569"/>
      <c r="E12" s="101"/>
    </row>
    <row r="13" spans="1:5" ht="30" customHeight="1">
      <c r="A13" s="94"/>
      <c r="B13" s="538" t="s">
        <v>1651</v>
      </c>
      <c r="C13" s="561"/>
      <c r="D13" s="561"/>
      <c r="E13" s="101" t="s">
        <v>134</v>
      </c>
    </row>
    <row r="14" spans="1:5" ht="15" customHeight="1">
      <c r="A14" s="94"/>
      <c r="B14" s="567" t="s">
        <v>150</v>
      </c>
      <c r="C14" s="567"/>
      <c r="D14" s="567"/>
      <c r="E14" s="100"/>
    </row>
    <row r="15" spans="1:5" ht="15" customHeight="1">
      <c r="A15" s="94"/>
      <c r="B15" s="538" t="s">
        <v>151</v>
      </c>
      <c r="C15" s="561"/>
      <c r="D15" s="561"/>
      <c r="E15" s="101" t="s">
        <v>134</v>
      </c>
    </row>
    <row r="16" spans="1:5" ht="15" customHeight="1">
      <c r="A16" s="94"/>
      <c r="B16" s="538" t="s">
        <v>152</v>
      </c>
      <c r="C16" s="561"/>
      <c r="D16" s="561"/>
      <c r="E16" s="101" t="s">
        <v>134</v>
      </c>
    </row>
    <row r="17" spans="1:5" ht="15" customHeight="1">
      <c r="A17" s="94"/>
      <c r="B17" s="538" t="s">
        <v>153</v>
      </c>
      <c r="C17" s="561"/>
      <c r="D17" s="561"/>
      <c r="E17" s="101" t="s">
        <v>134</v>
      </c>
    </row>
    <row r="18" spans="1:5" ht="15" customHeight="1">
      <c r="A18" s="94"/>
      <c r="B18" s="538" t="s">
        <v>154</v>
      </c>
      <c r="C18" s="561"/>
      <c r="D18" s="561"/>
      <c r="E18" s="101" t="s">
        <v>134</v>
      </c>
    </row>
    <row r="19" spans="1:5" ht="15" customHeight="1">
      <c r="A19" s="94"/>
      <c r="B19" s="97"/>
      <c r="C19" s="97"/>
      <c r="D19" s="97"/>
      <c r="E19" s="97"/>
    </row>
    <row r="20" spans="1:5" ht="15" customHeight="1">
      <c r="A20" s="94"/>
      <c r="B20" s="566" t="s">
        <v>1661</v>
      </c>
      <c r="C20" s="566"/>
      <c r="D20" s="566"/>
      <c r="E20" s="566"/>
    </row>
    <row r="21" spans="1:5" ht="15" customHeight="1">
      <c r="A21" s="103"/>
      <c r="B21" s="538" t="s">
        <v>494</v>
      </c>
      <c r="C21" s="538"/>
      <c r="D21" s="538"/>
      <c r="E21" s="101" t="s">
        <v>139</v>
      </c>
    </row>
    <row r="22" spans="1:5" ht="15" customHeight="1">
      <c r="A22" s="103"/>
      <c r="B22" s="538" t="s">
        <v>495</v>
      </c>
      <c r="C22" s="538"/>
      <c r="D22" s="538"/>
      <c r="E22" s="101" t="s">
        <v>139</v>
      </c>
    </row>
    <row r="23" spans="1:5" ht="15" customHeight="1">
      <c r="A23" s="103"/>
      <c r="B23" s="538" t="s">
        <v>143</v>
      </c>
      <c r="C23" s="538"/>
      <c r="D23" s="538"/>
      <c r="E23" s="101" t="s">
        <v>139</v>
      </c>
    </row>
    <row r="24" spans="1:5" ht="15" customHeight="1">
      <c r="A24" s="103"/>
      <c r="B24" s="531" t="s">
        <v>147</v>
      </c>
      <c r="C24" s="531"/>
      <c r="D24" s="531"/>
      <c r="E24" s="531"/>
    </row>
    <row r="25" spans="1:5" ht="14.4">
      <c r="A25" s="103"/>
      <c r="B25" s="97"/>
      <c r="C25" s="97"/>
      <c r="D25" s="97"/>
      <c r="E25" s="97"/>
    </row>
    <row r="26" spans="1:5" ht="14.4">
      <c r="A26" s="103"/>
      <c r="B26" s="97"/>
      <c r="C26" s="97"/>
      <c r="D26" s="97"/>
      <c r="E26" s="97"/>
    </row>
    <row r="27" spans="1:5" ht="14.4">
      <c r="A27" s="103"/>
      <c r="B27" s="97"/>
      <c r="C27" s="97"/>
      <c r="D27" s="97"/>
      <c r="E27" s="97"/>
    </row>
    <row r="28" spans="1:5">
      <c r="B28" s="97"/>
      <c r="C28" s="97"/>
      <c r="D28" s="97"/>
      <c r="E28" s="97"/>
    </row>
  </sheetData>
  <sheetProtection sheet="1" objects="1" scenarios="1"/>
  <mergeCells count="21">
    <mergeCell ref="B3:C3"/>
    <mergeCell ref="D3:E3"/>
    <mergeCell ref="B8:D8"/>
    <mergeCell ref="B14:D14"/>
    <mergeCell ref="B15:D15"/>
    <mergeCell ref="B6:D6"/>
    <mergeCell ref="B9:D9"/>
    <mergeCell ref="B10:D10"/>
    <mergeCell ref="B11:D11"/>
    <mergeCell ref="B13:D13"/>
    <mergeCell ref="B5:E5"/>
    <mergeCell ref="B7:D7"/>
    <mergeCell ref="B12:D12"/>
    <mergeCell ref="B16:D16"/>
    <mergeCell ref="B17:D17"/>
    <mergeCell ref="B18:D18"/>
    <mergeCell ref="B24:E24"/>
    <mergeCell ref="B21:D21"/>
    <mergeCell ref="B22:D22"/>
    <mergeCell ref="B20:E20"/>
    <mergeCell ref="B23:D23"/>
  </mergeCells>
  <conditionalFormatting sqref="D3:E3">
    <cfRule type="expression" dxfId="152" priority="10">
      <formula>D3="COMPLIANT"</formula>
    </cfRule>
    <cfRule type="expression" dxfId="151" priority="11">
      <formula>D3="PENDING"</formula>
    </cfRule>
  </conditionalFormatting>
  <dataValidations count="1">
    <dataValidation type="list" sqref="A1 E9:E13 E15:E18 E21:E23" xr:uid="{00000000-0002-0000-0300-000000000000}">
      <formula1>"☐,☑"</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30"/>
  <sheetViews>
    <sheetView topLeftCell="A22" workbookViewId="0">
      <selection activeCell="A23" sqref="A23:A28"/>
    </sheetView>
  </sheetViews>
  <sheetFormatPr defaultRowHeight="13.8"/>
  <cols>
    <col min="1" max="1" width="6" style="93" customWidth="1"/>
    <col min="2" max="2" width="39" style="93" customWidth="1"/>
    <col min="3" max="4" width="26" style="93" customWidth="1"/>
    <col min="5" max="5" width="18" style="93" customWidth="1"/>
    <col min="6" max="16384" width="8.796875" style="93"/>
  </cols>
  <sheetData>
    <row r="1" spans="1:5" ht="16.95" customHeight="1">
      <c r="A1" s="91" t="s">
        <v>134</v>
      </c>
      <c r="B1" s="92" t="s">
        <v>135</v>
      </c>
      <c r="C1" s="92"/>
      <c r="D1" s="92"/>
      <c r="E1" s="92"/>
    </row>
    <row r="2" spans="1:5" ht="21.75" customHeight="1">
      <c r="A2" s="94"/>
      <c r="B2" s="95" t="s">
        <v>13</v>
      </c>
      <c r="C2" s="95"/>
      <c r="D2" s="95"/>
      <c r="E2" s="95" t="s">
        <v>12</v>
      </c>
    </row>
    <row r="3" spans="1:5">
      <c r="A3" s="94"/>
      <c r="B3" s="563" t="s">
        <v>136</v>
      </c>
      <c r="C3" s="563"/>
      <c r="D3" s="564" t="str">
        <f>IF(COUNTIF(E8:E20,"☐")&gt;0,"PENDING",IF(COUNTIF(E8:E20,"☑")&gt;0,"COMPLIANT","PENDING"))</f>
        <v>COMPLIANT</v>
      </c>
      <c r="E3" s="564" t="str">
        <f>HYPERLINK("#'Checklist'!A1","Go To Checklist")</f>
        <v>Go To Checklist</v>
      </c>
    </row>
    <row r="4" spans="1:5" ht="15.6">
      <c r="A4" s="94"/>
      <c r="B4" s="96" t="s">
        <v>5</v>
      </c>
      <c r="C4" s="97"/>
      <c r="D4" s="97"/>
      <c r="E4" s="97" t="str">
        <f>HYPERLINK("#'Checklist'!A1","Go To Checklist")</f>
        <v>Go To Checklist</v>
      </c>
    </row>
    <row r="5" spans="1:5" ht="43.2" customHeight="1">
      <c r="A5" s="94"/>
      <c r="B5" s="565" t="s">
        <v>710</v>
      </c>
      <c r="C5" s="565"/>
      <c r="D5" s="565"/>
      <c r="E5" s="565"/>
    </row>
    <row r="6" spans="1:5" ht="15" customHeight="1">
      <c r="A6" s="94"/>
      <c r="B6" s="562" t="s">
        <v>918</v>
      </c>
      <c r="C6" s="562"/>
      <c r="D6" s="562"/>
      <c r="E6" s="98" t="s">
        <v>137</v>
      </c>
    </row>
    <row r="7" spans="1:5" ht="31.8" customHeight="1">
      <c r="A7" s="94"/>
      <c r="B7" s="571" t="s">
        <v>880</v>
      </c>
      <c r="C7" s="571"/>
      <c r="D7" s="571"/>
      <c r="E7" s="99" t="s">
        <v>137</v>
      </c>
    </row>
    <row r="8" spans="1:5" ht="28.5" customHeight="1">
      <c r="A8" s="94"/>
      <c r="B8" s="538" t="s">
        <v>155</v>
      </c>
      <c r="C8" s="561"/>
      <c r="D8" s="561"/>
      <c r="E8" s="101" t="s">
        <v>134</v>
      </c>
    </row>
    <row r="9" spans="1:5" ht="15" customHeight="1">
      <c r="A9" s="94"/>
      <c r="B9" s="572" t="s">
        <v>1645</v>
      </c>
      <c r="C9" s="572"/>
      <c r="D9" s="107"/>
      <c r="E9" s="108"/>
    </row>
    <row r="10" spans="1:5" ht="15" customHeight="1">
      <c r="A10" s="94"/>
      <c r="B10" s="109" t="s">
        <v>940</v>
      </c>
      <c r="C10" s="109" t="s">
        <v>622</v>
      </c>
      <c r="D10" s="109" t="s">
        <v>622</v>
      </c>
      <c r="E10" s="110" t="s">
        <v>829</v>
      </c>
    </row>
    <row r="11" spans="1:5" ht="15" customHeight="1">
      <c r="A11" s="94"/>
      <c r="B11" s="573" t="s">
        <v>1642</v>
      </c>
      <c r="C11" s="573"/>
      <c r="D11" s="111" t="s">
        <v>1064</v>
      </c>
      <c r="E11" s="112"/>
    </row>
    <row r="12" spans="1:5" ht="15" customHeight="1">
      <c r="A12" s="94"/>
      <c r="B12" s="573" t="s">
        <v>1643</v>
      </c>
      <c r="C12" s="573"/>
      <c r="D12" s="111" t="s">
        <v>1064</v>
      </c>
      <c r="E12" s="112"/>
    </row>
    <row r="13" spans="1:5" ht="15" customHeight="1">
      <c r="A13" s="94"/>
      <c r="B13" s="573" t="s">
        <v>1644</v>
      </c>
      <c r="C13" s="573"/>
      <c r="D13" s="111" t="s">
        <v>170</v>
      </c>
      <c r="E13" s="58">
        <f>IFERROR(E12/E11,0)</f>
        <v>0</v>
      </c>
    </row>
    <row r="14" spans="1:5" ht="15" customHeight="1">
      <c r="A14" s="94"/>
      <c r="B14" s="538" t="s">
        <v>156</v>
      </c>
      <c r="C14" s="561"/>
      <c r="D14" s="561"/>
      <c r="E14" s="101" t="s">
        <v>134</v>
      </c>
    </row>
    <row r="15" spans="1:5" ht="15" customHeight="1">
      <c r="A15" s="94"/>
      <c r="B15" s="538" t="s">
        <v>157</v>
      </c>
      <c r="C15" s="561"/>
      <c r="D15" s="561"/>
      <c r="E15" s="101" t="s">
        <v>134</v>
      </c>
    </row>
    <row r="16" spans="1:5" ht="15" customHeight="1">
      <c r="A16" s="94"/>
      <c r="B16" s="538" t="s">
        <v>158</v>
      </c>
      <c r="C16" s="561"/>
      <c r="D16" s="561"/>
      <c r="E16" s="101" t="s">
        <v>134</v>
      </c>
    </row>
    <row r="17" spans="1:5" ht="15" customHeight="1">
      <c r="A17" s="94"/>
      <c r="B17" s="538" t="s">
        <v>159</v>
      </c>
      <c r="C17" s="561"/>
      <c r="D17" s="561"/>
      <c r="E17" s="101" t="s">
        <v>134</v>
      </c>
    </row>
    <row r="18" spans="1:5" ht="15" customHeight="1">
      <c r="A18" s="94"/>
      <c r="B18" s="538" t="s">
        <v>160</v>
      </c>
      <c r="C18" s="561"/>
      <c r="D18" s="561"/>
      <c r="E18" s="101" t="s">
        <v>134</v>
      </c>
    </row>
    <row r="19" spans="1:5" ht="15" customHeight="1">
      <c r="A19" s="103"/>
      <c r="B19" s="538" t="s">
        <v>161</v>
      </c>
      <c r="C19" s="561"/>
      <c r="D19" s="561"/>
      <c r="E19" s="101" t="s">
        <v>134</v>
      </c>
    </row>
    <row r="20" spans="1:5" ht="15" customHeight="1">
      <c r="A20" s="103"/>
      <c r="B20" s="570" t="s">
        <v>162</v>
      </c>
      <c r="C20" s="570"/>
      <c r="D20" s="570"/>
      <c r="E20" s="101" t="s">
        <v>134</v>
      </c>
    </row>
    <row r="21" spans="1:5" ht="15.6">
      <c r="A21" s="94"/>
      <c r="B21" s="97"/>
      <c r="C21" s="104"/>
      <c r="D21" s="97"/>
      <c r="E21" s="100"/>
    </row>
    <row r="22" spans="1:5" ht="14.4">
      <c r="A22" s="103"/>
      <c r="B22" s="566" t="s">
        <v>1661</v>
      </c>
      <c r="C22" s="566"/>
      <c r="D22" s="566"/>
      <c r="E22" s="566"/>
    </row>
    <row r="23" spans="1:5" ht="17.399999999999999">
      <c r="A23" s="103"/>
      <c r="B23" s="538" t="s">
        <v>711</v>
      </c>
      <c r="C23" s="538"/>
      <c r="D23" s="538"/>
      <c r="E23" s="101" t="s">
        <v>139</v>
      </c>
    </row>
    <row r="24" spans="1:5" ht="17.399999999999999">
      <c r="A24" s="114"/>
      <c r="B24" s="538" t="s">
        <v>712</v>
      </c>
      <c r="C24" s="538"/>
      <c r="D24" s="538"/>
      <c r="E24" s="101" t="s">
        <v>139</v>
      </c>
    </row>
    <row r="25" spans="1:5" ht="14.4">
      <c r="A25" s="114"/>
      <c r="B25" s="531" t="s">
        <v>147</v>
      </c>
      <c r="C25" s="531"/>
      <c r="D25" s="531"/>
      <c r="E25" s="531"/>
    </row>
    <row r="26" spans="1:5" ht="14.4">
      <c r="A26" s="114"/>
      <c r="B26" s="97"/>
      <c r="C26" s="97"/>
      <c r="D26" s="97"/>
      <c r="E26" s="97"/>
    </row>
    <row r="27" spans="1:5" ht="14.4">
      <c r="A27" s="114"/>
      <c r="B27" s="97"/>
      <c r="C27" s="97"/>
      <c r="D27" s="97"/>
      <c r="E27" s="97"/>
    </row>
    <row r="28" spans="1:5" ht="14.4">
      <c r="A28" s="114"/>
      <c r="B28" s="97"/>
      <c r="C28" s="97"/>
      <c r="D28" s="97"/>
      <c r="E28" s="97"/>
    </row>
    <row r="29" spans="1:5" ht="14.4">
      <c r="A29" s="114"/>
      <c r="B29" s="97"/>
      <c r="C29" s="97"/>
      <c r="D29" s="97"/>
      <c r="E29" s="97"/>
    </row>
    <row r="30" spans="1:5">
      <c r="B30" s="97"/>
      <c r="C30" s="97"/>
      <c r="D30" s="97"/>
      <c r="E30" s="97"/>
    </row>
  </sheetData>
  <sheetProtection sheet="1" objects="1" scenarios="1"/>
  <mergeCells count="21">
    <mergeCell ref="B18:D18"/>
    <mergeCell ref="B19:D19"/>
    <mergeCell ref="B3:C3"/>
    <mergeCell ref="D3:E3"/>
    <mergeCell ref="B6:D6"/>
    <mergeCell ref="B7:D7"/>
    <mergeCell ref="B5:E5"/>
    <mergeCell ref="B8:D8"/>
    <mergeCell ref="B14:D14"/>
    <mergeCell ref="B15:D15"/>
    <mergeCell ref="B16:D16"/>
    <mergeCell ref="B17:D17"/>
    <mergeCell ref="B9:C9"/>
    <mergeCell ref="B11:C11"/>
    <mergeCell ref="B12:C12"/>
    <mergeCell ref="B13:C13"/>
    <mergeCell ref="B20:D20"/>
    <mergeCell ref="B25:E25"/>
    <mergeCell ref="B23:D23"/>
    <mergeCell ref="B22:E22"/>
    <mergeCell ref="B24:D24"/>
  </mergeCells>
  <conditionalFormatting sqref="D3:E3">
    <cfRule type="expression" dxfId="150" priority="8">
      <formula>D3="COMPLIANT"</formula>
    </cfRule>
    <cfRule type="expression" dxfId="149" priority="9">
      <formula>D3="PENDING"</formula>
    </cfRule>
  </conditionalFormatting>
  <dataValidations count="2">
    <dataValidation type="list" sqref="A1 E23:E24 E8:E9 E14:E20" xr:uid="{00000000-0002-0000-0400-000000000000}">
      <formula1>"☐,☑"</formula1>
    </dataValidation>
    <dataValidation sqref="E11:E13 E21" xr:uid="{C9C634B0-3579-49C9-85FD-A888ED3DF483}"/>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54"/>
  <sheetViews>
    <sheetView zoomScale="90" zoomScaleNormal="90" workbookViewId="0">
      <selection activeCell="H12" sqref="H12"/>
    </sheetView>
  </sheetViews>
  <sheetFormatPr defaultRowHeight="13.8"/>
  <cols>
    <col min="1" max="1" width="6" style="93" customWidth="1"/>
    <col min="2" max="2" width="39" style="93" customWidth="1"/>
    <col min="3" max="4" width="26" style="93" customWidth="1"/>
    <col min="5" max="5" width="18" style="93" customWidth="1"/>
    <col min="6" max="16384" width="8.796875" style="93"/>
  </cols>
  <sheetData>
    <row r="1" spans="1:5" ht="16.8" customHeight="1">
      <c r="A1" s="91" t="s">
        <v>134</v>
      </c>
      <c r="B1" s="92" t="s">
        <v>163</v>
      </c>
      <c r="C1" s="135">
        <f>IF('Project Info'!$C$8="New Hotel",MAX(D13,D22,D30),0)</f>
        <v>0</v>
      </c>
      <c r="D1" s="92" t="s">
        <v>164</v>
      </c>
      <c r="E1" s="92">
        <f>IF('Project Info'!$C$8="New Hotel",2,2)</f>
        <v>2</v>
      </c>
    </row>
    <row r="2" spans="1:5" ht="22.95" customHeight="1">
      <c r="A2" s="94"/>
      <c r="B2" s="95" t="s">
        <v>15</v>
      </c>
      <c r="C2" s="95"/>
      <c r="D2" s="95"/>
      <c r="E2" s="95" t="s">
        <v>14</v>
      </c>
    </row>
    <row r="3" spans="1:5" ht="15" customHeight="1">
      <c r="A3" s="94"/>
      <c r="B3" s="96" t="s">
        <v>5</v>
      </c>
      <c r="C3" s="97"/>
      <c r="D3" s="97"/>
      <c r="E3" s="97" t="str">
        <f>HYPERLINK("#'Checklist'!A1","Go To Checklist")</f>
        <v>Go To Checklist</v>
      </c>
    </row>
    <row r="4" spans="1:5" ht="46.8" customHeight="1">
      <c r="A4" s="94"/>
      <c r="B4" s="565" t="s">
        <v>710</v>
      </c>
      <c r="C4" s="565"/>
      <c r="D4" s="565"/>
      <c r="E4" s="565"/>
    </row>
    <row r="5" spans="1:5" ht="15" customHeight="1">
      <c r="A5" s="94"/>
      <c r="B5" s="574" t="s">
        <v>438</v>
      </c>
      <c r="C5" s="574"/>
      <c r="D5" s="574"/>
      <c r="E5" s="574"/>
    </row>
    <row r="6" spans="1:5" ht="15.6" customHeight="1">
      <c r="A6" s="94"/>
      <c r="B6" s="115" t="s">
        <v>918</v>
      </c>
      <c r="C6" s="116"/>
      <c r="D6" s="116"/>
      <c r="E6" s="116"/>
    </row>
    <row r="7" spans="1:5" ht="15" customHeight="1">
      <c r="A7" s="94"/>
      <c r="B7" s="117" t="s">
        <v>165</v>
      </c>
      <c r="C7" s="117"/>
      <c r="D7" s="117"/>
      <c r="E7" s="118" t="s">
        <v>134</v>
      </c>
    </row>
    <row r="8" spans="1:5" ht="15" customHeight="1">
      <c r="A8" s="94"/>
      <c r="B8" s="109" t="s">
        <v>940</v>
      </c>
      <c r="C8" s="109" t="s">
        <v>622</v>
      </c>
      <c r="D8" s="109"/>
      <c r="E8" s="110" t="s">
        <v>829</v>
      </c>
    </row>
    <row r="9" spans="1:5" ht="15" customHeight="1">
      <c r="A9" s="94"/>
      <c r="B9" s="97" t="s">
        <v>166</v>
      </c>
      <c r="C9" s="97" t="s">
        <v>167</v>
      </c>
      <c r="D9" s="97"/>
      <c r="E9" s="119">
        <f>'Project Info'!C17</f>
        <v>0</v>
      </c>
    </row>
    <row r="10" spans="1:5" ht="15" customHeight="1">
      <c r="A10" s="94"/>
      <c r="B10" s="97" t="s">
        <v>168</v>
      </c>
      <c r="C10" s="97" t="s">
        <v>167</v>
      </c>
      <c r="D10" s="97"/>
      <c r="E10" s="120">
        <v>10</v>
      </c>
    </row>
    <row r="11" spans="1:5" ht="15" customHeight="1">
      <c r="A11" s="94"/>
      <c r="B11" s="97" t="s">
        <v>169</v>
      </c>
      <c r="C11" s="97" t="s">
        <v>170</v>
      </c>
      <c r="D11" s="97"/>
      <c r="E11" s="42">
        <f>IFERROR(E10/E9,0)</f>
        <v>0</v>
      </c>
    </row>
    <row r="12" spans="1:5" ht="15" customHeight="1">
      <c r="A12" s="94"/>
      <c r="B12" s="122" t="s">
        <v>329</v>
      </c>
      <c r="C12" s="123" t="s">
        <v>163</v>
      </c>
      <c r="D12" s="579" t="s">
        <v>171</v>
      </c>
      <c r="E12" s="579"/>
    </row>
    <row r="13" spans="1:5" ht="15" customHeight="1">
      <c r="A13" s="94"/>
      <c r="B13" s="97" t="s">
        <v>1386</v>
      </c>
      <c r="C13" s="124">
        <v>1</v>
      </c>
      <c r="D13" s="578">
        <f>IF(E11&gt;20%,2,IF(E11&gt;=15%,1,0))</f>
        <v>0</v>
      </c>
      <c r="E13" s="578"/>
    </row>
    <row r="14" spans="1:5" ht="15" customHeight="1">
      <c r="A14" s="94"/>
      <c r="B14" s="97" t="s">
        <v>1387</v>
      </c>
      <c r="C14" s="124">
        <v>2</v>
      </c>
      <c r="D14" s="578">
        <f>IF(E11&gt;20%,2,0)</f>
        <v>0</v>
      </c>
      <c r="E14" s="578"/>
    </row>
    <row r="15" spans="1:5" ht="15" customHeight="1">
      <c r="A15" s="94"/>
      <c r="B15" s="577" t="s">
        <v>816</v>
      </c>
      <c r="C15" s="577"/>
      <c r="D15" s="577"/>
      <c r="E15" s="577"/>
    </row>
    <row r="16" spans="1:5" ht="15" customHeight="1">
      <c r="A16" s="94"/>
      <c r="B16" s="117" t="s">
        <v>174</v>
      </c>
      <c r="C16" s="117"/>
      <c r="D16" s="117"/>
      <c r="E16" s="118" t="s">
        <v>134</v>
      </c>
    </row>
    <row r="17" spans="1:5" ht="15" customHeight="1">
      <c r="A17" s="94"/>
      <c r="B17" s="109" t="s">
        <v>940</v>
      </c>
      <c r="C17" s="109" t="s">
        <v>622</v>
      </c>
      <c r="D17" s="109"/>
      <c r="E17" s="125" t="s">
        <v>829</v>
      </c>
    </row>
    <row r="18" spans="1:5" ht="15" customHeight="1">
      <c r="A18" s="94"/>
      <c r="B18" s="97" t="s">
        <v>175</v>
      </c>
      <c r="C18" s="97" t="s">
        <v>167</v>
      </c>
      <c r="D18" s="97"/>
      <c r="E18" s="126">
        <f>'Project Info'!C17</f>
        <v>0</v>
      </c>
    </row>
    <row r="19" spans="1:5" ht="15" customHeight="1">
      <c r="A19" s="94"/>
      <c r="B19" s="97" t="s">
        <v>176</v>
      </c>
      <c r="C19" s="97" t="s">
        <v>177</v>
      </c>
      <c r="D19" s="97"/>
      <c r="E19" s="127">
        <v>2</v>
      </c>
    </row>
    <row r="20" spans="1:5" ht="15" customHeight="1">
      <c r="A20" s="94"/>
      <c r="B20" s="97" t="s">
        <v>178</v>
      </c>
      <c r="C20" s="97" t="s">
        <v>177</v>
      </c>
      <c r="D20" s="97"/>
      <c r="E20" s="133">
        <f>IFERROR(E19/(E18/80),0)</f>
        <v>0</v>
      </c>
    </row>
    <row r="21" spans="1:5" ht="15" customHeight="1">
      <c r="A21" s="94"/>
      <c r="B21" s="122" t="s">
        <v>329</v>
      </c>
      <c r="C21" s="123" t="s">
        <v>163</v>
      </c>
      <c r="D21" s="579" t="s">
        <v>171</v>
      </c>
      <c r="E21" s="579"/>
    </row>
    <row r="22" spans="1:5" ht="15" customHeight="1">
      <c r="A22" s="94"/>
      <c r="B22" s="97" t="s">
        <v>179</v>
      </c>
      <c r="C22" s="124">
        <v>2</v>
      </c>
      <c r="D22" s="580">
        <f>IF(E20&gt;=1,2,0)</f>
        <v>0</v>
      </c>
      <c r="E22" s="580"/>
    </row>
    <row r="23" spans="1:5" ht="15" customHeight="1">
      <c r="A23" s="94"/>
      <c r="B23" s="577" t="s">
        <v>816</v>
      </c>
      <c r="C23" s="577"/>
      <c r="D23" s="577"/>
      <c r="E23" s="577"/>
    </row>
    <row r="24" spans="1:5" ht="15" customHeight="1">
      <c r="A24" s="94"/>
      <c r="B24" s="576" t="s">
        <v>180</v>
      </c>
      <c r="C24" s="576"/>
      <c r="D24" s="117"/>
      <c r="E24" s="118" t="s">
        <v>134</v>
      </c>
    </row>
    <row r="25" spans="1:5" ht="15" customHeight="1">
      <c r="A25" s="94"/>
      <c r="B25" s="109" t="s">
        <v>940</v>
      </c>
      <c r="C25" s="109" t="s">
        <v>622</v>
      </c>
      <c r="D25" s="109"/>
      <c r="E25" s="130" t="s">
        <v>829</v>
      </c>
    </row>
    <row r="26" spans="1:5" ht="15" customHeight="1">
      <c r="A26" s="94"/>
      <c r="B26" s="97" t="s">
        <v>181</v>
      </c>
      <c r="C26" s="97" t="s">
        <v>167</v>
      </c>
      <c r="D26" s="97"/>
      <c r="E26" s="119">
        <f>'Project Info'!C18</f>
        <v>0</v>
      </c>
    </row>
    <row r="27" spans="1:5" ht="15" customHeight="1">
      <c r="A27" s="94"/>
      <c r="B27" s="97" t="s">
        <v>182</v>
      </c>
      <c r="C27" s="97" t="s">
        <v>177</v>
      </c>
      <c r="D27" s="97"/>
      <c r="E27" s="119">
        <f>'Project Info'!C21</f>
        <v>0</v>
      </c>
    </row>
    <row r="28" spans="1:5" ht="15" customHeight="1">
      <c r="A28" s="94"/>
      <c r="B28" s="97" t="s">
        <v>183</v>
      </c>
      <c r="C28" s="97" t="s">
        <v>184</v>
      </c>
      <c r="D28" s="97"/>
      <c r="E28" s="134">
        <f>IFERROR(E26/E27,0)</f>
        <v>0</v>
      </c>
    </row>
    <row r="29" spans="1:5" ht="15" customHeight="1">
      <c r="A29" s="94"/>
      <c r="B29" s="122" t="s">
        <v>1388</v>
      </c>
      <c r="C29" s="123" t="s">
        <v>163</v>
      </c>
      <c r="D29" s="579" t="s">
        <v>171</v>
      </c>
      <c r="E29" s="579"/>
    </row>
    <row r="30" spans="1:5" ht="15" customHeight="1">
      <c r="A30" s="94"/>
      <c r="B30" s="97" t="s">
        <v>185</v>
      </c>
      <c r="C30" s="124">
        <v>1</v>
      </c>
      <c r="D30" s="578">
        <f>IF(OR('Project Info'!$C$9="1-Star",'Project Info'!$C$9="2-Star",'Project Info'!$C$9="3-Star"),IF(E28&gt;=7,2,IF(E28&gt;=5,1,0)),IF(OR('Project Info'!$C$9="4-Star",'Project Info'!$C$9="5-Star"),IF(E28&gt;=12,2,IF(E28&gt;=10,1,0)),0))</f>
        <v>0</v>
      </c>
      <c r="E30" s="578"/>
    </row>
    <row r="31" spans="1:5" ht="15" customHeight="1">
      <c r="A31" s="94"/>
      <c r="B31" s="97" t="s">
        <v>186</v>
      </c>
      <c r="C31" s="124">
        <v>2</v>
      </c>
      <c r="D31" s="578">
        <f>IF(AND(OR('Project Info'!$C$9="1-Star",'Project Info'!$C$9="2-Star",'Project Info'!$C$9="3-Star"),E28&gt;=7),2,0)</f>
        <v>0</v>
      </c>
      <c r="E31" s="578"/>
    </row>
    <row r="32" spans="1:5" ht="15" customHeight="1">
      <c r="A32" s="94"/>
      <c r="B32" s="97" t="s">
        <v>187</v>
      </c>
      <c r="C32" s="124">
        <v>1</v>
      </c>
      <c r="D32" s="578">
        <f>IF(AND(OR('Project Info'!$C$9="4-Star",'Project Info'!$C$9="5-Star"),E28&gt;=10),1,0)</f>
        <v>0</v>
      </c>
      <c r="E32" s="578"/>
    </row>
    <row r="33" spans="1:5" ht="15" customHeight="1">
      <c r="A33" s="94"/>
      <c r="B33" s="97" t="s">
        <v>188</v>
      </c>
      <c r="C33" s="124">
        <v>2</v>
      </c>
      <c r="D33" s="578">
        <f>IF(AND(OR('Project Info'!$C$9="4-Star",'Project Info'!$C$9="5-Star"),E28&gt;=12),2,0)</f>
        <v>0</v>
      </c>
      <c r="E33" s="578"/>
    </row>
    <row r="34" spans="1:5" ht="15" customHeight="1">
      <c r="A34" s="94"/>
      <c r="B34" s="575"/>
      <c r="C34" s="575"/>
      <c r="D34" s="575"/>
      <c r="E34" s="575"/>
    </row>
    <row r="35" spans="1:5" ht="23.4" customHeight="1">
      <c r="A35" s="94"/>
      <c r="B35" s="131" t="s">
        <v>15</v>
      </c>
      <c r="C35" s="131"/>
      <c r="D35" s="131" t="s">
        <v>189</v>
      </c>
      <c r="E35" s="135">
        <f>C1</f>
        <v>0</v>
      </c>
    </row>
    <row r="36" spans="1:5" ht="15" customHeight="1">
      <c r="A36" s="94"/>
      <c r="B36" s="97"/>
      <c r="C36" s="97"/>
      <c r="D36" s="97"/>
      <c r="E36" s="97"/>
    </row>
    <row r="37" spans="1:5" ht="15" customHeight="1">
      <c r="A37" s="94"/>
      <c r="B37" s="582" t="s">
        <v>1661</v>
      </c>
      <c r="C37" s="582"/>
      <c r="D37" s="582"/>
      <c r="E37" s="582"/>
    </row>
    <row r="38" spans="1:5" ht="15" customHeight="1">
      <c r="A38" s="94"/>
      <c r="B38" s="92" t="s">
        <v>165</v>
      </c>
      <c r="C38" s="92"/>
      <c r="D38" s="92"/>
      <c r="E38" s="92"/>
    </row>
    <row r="39" spans="1:5" ht="15" customHeight="1">
      <c r="A39" s="103"/>
      <c r="B39" s="538" t="s">
        <v>902</v>
      </c>
      <c r="C39" s="538"/>
      <c r="D39" s="538"/>
      <c r="E39" s="101" t="s">
        <v>139</v>
      </c>
    </row>
    <row r="40" spans="1:5" ht="15" customHeight="1">
      <c r="A40" s="103"/>
      <c r="B40" s="538" t="s">
        <v>903</v>
      </c>
      <c r="C40" s="538"/>
      <c r="D40" s="538"/>
      <c r="E40" s="101" t="s">
        <v>139</v>
      </c>
    </row>
    <row r="41" spans="1:5" ht="15" customHeight="1">
      <c r="A41" s="103"/>
      <c r="B41" s="538" t="s">
        <v>904</v>
      </c>
      <c r="C41" s="538"/>
      <c r="D41" s="538"/>
      <c r="E41" s="101" t="s">
        <v>139</v>
      </c>
    </row>
    <row r="42" spans="1:5" ht="15" customHeight="1">
      <c r="A42" s="103"/>
      <c r="B42" s="92" t="s">
        <v>174</v>
      </c>
      <c r="C42" s="97"/>
      <c r="D42" s="97"/>
      <c r="E42" s="101"/>
    </row>
    <row r="43" spans="1:5" ht="17.399999999999999" customHeight="1">
      <c r="A43" s="103"/>
      <c r="B43" s="538" t="s">
        <v>1662</v>
      </c>
      <c r="C43" s="538"/>
      <c r="D43" s="538"/>
      <c r="E43" s="101" t="s">
        <v>139</v>
      </c>
    </row>
    <row r="44" spans="1:5" ht="17.399999999999999" customHeight="1">
      <c r="A44" s="103"/>
      <c r="B44" s="538" t="s">
        <v>1663</v>
      </c>
      <c r="C44" s="538"/>
      <c r="D44" s="538"/>
      <c r="E44" s="101" t="s">
        <v>139</v>
      </c>
    </row>
    <row r="45" spans="1:5" ht="17.399999999999999" customHeight="1">
      <c r="A45" s="103"/>
      <c r="B45" s="560" t="s">
        <v>1664</v>
      </c>
      <c r="C45" s="560"/>
      <c r="D45" s="560"/>
      <c r="E45" s="101" t="s">
        <v>139</v>
      </c>
    </row>
    <row r="46" spans="1:5" ht="17.399999999999999" customHeight="1">
      <c r="A46" s="103"/>
      <c r="B46" s="581" t="s">
        <v>180</v>
      </c>
      <c r="C46" s="581"/>
      <c r="D46" s="104"/>
      <c r="E46" s="101"/>
    </row>
    <row r="47" spans="1:5" ht="14.4" customHeight="1">
      <c r="A47" s="103"/>
      <c r="B47" s="560" t="s">
        <v>1665</v>
      </c>
      <c r="C47" s="560"/>
      <c r="D47" s="560"/>
      <c r="E47" s="101" t="s">
        <v>139</v>
      </c>
    </row>
    <row r="48" spans="1:5" ht="17.399999999999999" customHeight="1">
      <c r="A48" s="103"/>
      <c r="B48" s="560" t="s">
        <v>1666</v>
      </c>
      <c r="C48" s="560"/>
      <c r="D48" s="560"/>
      <c r="E48" s="101" t="s">
        <v>139</v>
      </c>
    </row>
    <row r="49" spans="1:5" ht="15" customHeight="1">
      <c r="A49" s="103"/>
      <c r="B49" s="560" t="s">
        <v>1667</v>
      </c>
      <c r="C49" s="560"/>
      <c r="D49" s="560"/>
      <c r="E49" s="101" t="s">
        <v>139</v>
      </c>
    </row>
    <row r="50" spans="1:5" ht="15" customHeight="1">
      <c r="A50" s="103"/>
      <c r="B50" s="531" t="s">
        <v>147</v>
      </c>
      <c r="C50" s="531"/>
      <c r="D50" s="531"/>
      <c r="E50" s="531"/>
    </row>
    <row r="51" spans="1:5" ht="15" customHeight="1">
      <c r="A51" s="103"/>
      <c r="B51" s="97"/>
      <c r="C51" s="97"/>
      <c r="D51" s="97"/>
      <c r="E51" s="97"/>
    </row>
    <row r="52" spans="1:5" ht="15" customHeight="1">
      <c r="A52" s="103"/>
      <c r="B52" s="97"/>
      <c r="C52" s="97"/>
      <c r="D52" s="97"/>
      <c r="E52" s="97"/>
    </row>
    <row r="53" spans="1:5" ht="14.4">
      <c r="A53" s="103"/>
      <c r="B53" s="97"/>
      <c r="C53" s="97"/>
      <c r="D53" s="97"/>
      <c r="E53" s="97"/>
    </row>
    <row r="54" spans="1:5">
      <c r="B54" s="97"/>
      <c r="C54" s="97"/>
      <c r="D54" s="97"/>
      <c r="E54" s="97"/>
    </row>
  </sheetData>
  <sheetProtection sheet="1"/>
  <mergeCells count="24">
    <mergeCell ref="B37:E37"/>
    <mergeCell ref="B40:D40"/>
    <mergeCell ref="B41:D41"/>
    <mergeCell ref="B44:D44"/>
    <mergeCell ref="B45:D45"/>
    <mergeCell ref="B39:D39"/>
    <mergeCell ref="B50:E50"/>
    <mergeCell ref="B43:D43"/>
    <mergeCell ref="B47:D47"/>
    <mergeCell ref="B48:D48"/>
    <mergeCell ref="B49:D49"/>
    <mergeCell ref="B46:C46"/>
    <mergeCell ref="B5:E5"/>
    <mergeCell ref="B34:E34"/>
    <mergeCell ref="B24:C24"/>
    <mergeCell ref="B23:E23"/>
    <mergeCell ref="B4:E4"/>
    <mergeCell ref="D30:E33"/>
    <mergeCell ref="D12:E12"/>
    <mergeCell ref="D21:E21"/>
    <mergeCell ref="D13:E14"/>
    <mergeCell ref="D22:E22"/>
    <mergeCell ref="D29:E29"/>
    <mergeCell ref="B15:E15"/>
  </mergeCells>
  <conditionalFormatting sqref="B8:E14 A38:E41">
    <cfRule type="expression" dxfId="148" priority="16">
      <formula>$E$7&lt;&gt;"☑"</formula>
    </cfRule>
  </conditionalFormatting>
  <conditionalFormatting sqref="B17:E22 A42:E45">
    <cfRule type="expression" dxfId="147" priority="12">
      <formula>$E$16&lt;&gt;"☑"</formula>
    </cfRule>
  </conditionalFormatting>
  <conditionalFormatting sqref="B25:E33 A46:E49">
    <cfRule type="expression" dxfId="146" priority="1">
      <formula>$E$24&lt;&gt;"☑"</formula>
    </cfRule>
  </conditionalFormatting>
  <dataValidations count="2">
    <dataValidation type="decimal" sqref="C1" xr:uid="{00000000-0002-0000-0500-000000000000}">
      <formula1>0</formula1>
      <formula2>2</formula2>
    </dataValidation>
    <dataValidation type="list" sqref="A1 E7 E16 E39:E49 E24" xr:uid="{00000000-0002-0000-0500-000001000000}">
      <formula1>"☐,☑"</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N90"/>
  <sheetViews>
    <sheetView zoomScale="80" zoomScaleNormal="80" workbookViewId="0">
      <selection activeCell="A50" sqref="A50:A64"/>
    </sheetView>
  </sheetViews>
  <sheetFormatPr defaultRowHeight="13.8"/>
  <cols>
    <col min="1" max="1" width="6.3984375" style="93" customWidth="1"/>
    <col min="2" max="2" width="33.69921875" style="93" customWidth="1"/>
    <col min="3" max="3" width="7.59765625" style="93" customWidth="1"/>
    <col min="4" max="4" width="23.296875" style="93" customWidth="1"/>
    <col min="5" max="5" width="22.3984375" style="93" customWidth="1"/>
    <col min="6" max="6" width="16.09765625" style="93" customWidth="1"/>
    <col min="7" max="7" width="15.19921875" style="93" customWidth="1"/>
    <col min="8" max="8" width="8.796875" style="93"/>
    <col min="9" max="9" width="30.796875" style="93" customWidth="1"/>
    <col min="10" max="10" width="10.296875" style="93" customWidth="1"/>
    <col min="11" max="11" width="19.796875" style="93" customWidth="1"/>
    <col min="12" max="12" width="17.8984375" style="93" customWidth="1"/>
    <col min="13" max="13" width="19.69921875" style="93" customWidth="1"/>
    <col min="14" max="14" width="16.19921875" style="93" customWidth="1"/>
    <col min="15" max="16384" width="8.796875" style="93"/>
  </cols>
  <sheetData>
    <row r="1" spans="1:14" ht="19.95" customHeight="1">
      <c r="A1" s="91" t="s">
        <v>134</v>
      </c>
      <c r="B1" s="598" t="s">
        <v>163</v>
      </c>
      <c r="C1" s="598"/>
      <c r="D1" s="598"/>
      <c r="E1" s="598"/>
      <c r="F1" s="599">
        <f>IF(OR(AND(F17=1,F39=1),AND(N9=1,N41=1)),2,0)</f>
        <v>0</v>
      </c>
      <c r="G1" s="599"/>
      <c r="H1" s="599"/>
      <c r="I1" s="599"/>
      <c r="J1" s="598" t="s">
        <v>164</v>
      </c>
      <c r="K1" s="598"/>
      <c r="L1" s="598">
        <v>2</v>
      </c>
      <c r="M1" s="598"/>
      <c r="N1" s="598"/>
    </row>
    <row r="2" spans="1:14" ht="19.95" customHeight="1">
      <c r="A2" s="94"/>
      <c r="B2" s="610" t="s">
        <v>17</v>
      </c>
      <c r="C2" s="610"/>
      <c r="D2" s="610"/>
      <c r="E2" s="137"/>
      <c r="F2" s="137"/>
      <c r="G2" s="601"/>
      <c r="H2" s="601"/>
      <c r="I2" s="601"/>
      <c r="J2" s="601"/>
      <c r="K2" s="601"/>
      <c r="L2" s="137"/>
      <c r="M2" s="137"/>
      <c r="N2" s="138" t="s">
        <v>16</v>
      </c>
    </row>
    <row r="3" spans="1:14" ht="15" customHeight="1">
      <c r="A3" s="94"/>
      <c r="B3" s="96" t="s">
        <v>5</v>
      </c>
      <c r="C3" s="97"/>
      <c r="D3" s="97"/>
      <c r="E3" s="600"/>
      <c r="F3" s="600"/>
      <c r="G3" s="600"/>
      <c r="I3" s="96"/>
      <c r="J3" s="97"/>
      <c r="K3" s="97"/>
      <c r="L3" s="600" t="str">
        <f>HYPERLINK("#'Checklist'!A1","Go To Checklist")</f>
        <v>Go To Checklist</v>
      </c>
      <c r="M3" s="600"/>
      <c r="N3" s="600"/>
    </row>
    <row r="4" spans="1:14" ht="47.4" customHeight="1">
      <c r="A4" s="94"/>
      <c r="B4" s="607" t="s">
        <v>710</v>
      </c>
      <c r="C4" s="607"/>
      <c r="D4" s="607"/>
      <c r="E4" s="607"/>
      <c r="F4" s="607"/>
      <c r="G4" s="607"/>
      <c r="H4" s="293" t="s">
        <v>816</v>
      </c>
      <c r="I4" s="607" t="s">
        <v>710</v>
      </c>
      <c r="J4" s="607"/>
      <c r="K4" s="607"/>
      <c r="L4" s="607"/>
      <c r="M4" s="607"/>
      <c r="N4" s="607"/>
    </row>
    <row r="5" spans="1:14" ht="16.2" customHeight="1">
      <c r="A5" s="94"/>
      <c r="B5" s="139" t="s">
        <v>918</v>
      </c>
      <c r="C5" s="139"/>
      <c r="D5" s="139"/>
      <c r="E5" s="139"/>
      <c r="F5" s="139"/>
      <c r="G5" s="295"/>
      <c r="H5" s="294"/>
      <c r="I5" s="139" t="s">
        <v>918</v>
      </c>
      <c r="J5" s="139"/>
      <c r="K5" s="139"/>
      <c r="L5" s="139"/>
      <c r="M5" s="139"/>
      <c r="N5" s="139"/>
    </row>
    <row r="6" spans="1:14" ht="16.2" customHeight="1">
      <c r="A6" s="94"/>
      <c r="B6" s="614" t="s">
        <v>1669</v>
      </c>
      <c r="C6" s="614"/>
      <c r="D6" s="614"/>
      <c r="E6" s="614"/>
      <c r="F6" s="614"/>
      <c r="G6" s="614"/>
      <c r="H6" s="614"/>
      <c r="I6" s="614"/>
      <c r="J6" s="614"/>
      <c r="K6" s="614"/>
      <c r="L6" s="614"/>
      <c r="M6" s="614"/>
      <c r="N6" s="614"/>
    </row>
    <row r="7" spans="1:14" ht="15" customHeight="1">
      <c r="A7" s="94"/>
      <c r="B7" s="613" t="s">
        <v>190</v>
      </c>
      <c r="C7" s="613"/>
      <c r="D7" s="613"/>
      <c r="E7" s="613"/>
      <c r="F7" s="613"/>
      <c r="G7" s="118" t="s">
        <v>134</v>
      </c>
      <c r="H7" s="294"/>
      <c r="I7" s="117" t="s">
        <v>440</v>
      </c>
      <c r="J7" s="117"/>
      <c r="K7" s="117"/>
      <c r="L7" s="117"/>
      <c r="M7" s="117"/>
      <c r="N7" s="118" t="s">
        <v>134</v>
      </c>
    </row>
    <row r="8" spans="1:14" ht="26.4" customHeight="1">
      <c r="A8" s="94"/>
      <c r="B8" s="609" t="s">
        <v>940</v>
      </c>
      <c r="C8" s="609"/>
      <c r="D8" s="199"/>
      <c r="E8" s="199"/>
      <c r="F8" s="200" t="s">
        <v>622</v>
      </c>
      <c r="G8" s="199" t="s">
        <v>985</v>
      </c>
      <c r="I8" s="602" t="s">
        <v>441</v>
      </c>
      <c r="J8" s="602"/>
      <c r="K8" s="602"/>
      <c r="L8" s="602"/>
      <c r="M8" s="602"/>
      <c r="N8" s="142" t="s">
        <v>139</v>
      </c>
    </row>
    <row r="9" spans="1:14" ht="31.2" customHeight="1">
      <c r="A9" s="94"/>
      <c r="B9" s="608" t="s">
        <v>191</v>
      </c>
      <c r="C9" s="608"/>
      <c r="D9" s="608"/>
      <c r="E9" s="608"/>
      <c r="F9" s="143" t="s">
        <v>167</v>
      </c>
      <c r="G9" s="144">
        <v>500</v>
      </c>
      <c r="I9" s="145" t="s">
        <v>329</v>
      </c>
      <c r="J9" s="585" t="s">
        <v>1404</v>
      </c>
      <c r="K9" s="585"/>
      <c r="L9" s="611" t="s">
        <v>603</v>
      </c>
      <c r="M9" s="611"/>
      <c r="N9" s="124">
        <f>IF(N8="☑",1,0)</f>
        <v>0</v>
      </c>
    </row>
    <row r="10" spans="1:14" ht="27.6">
      <c r="A10" s="94"/>
      <c r="B10" s="608" t="s">
        <v>1670</v>
      </c>
      <c r="C10" s="608"/>
      <c r="D10" s="147" t="s">
        <v>713</v>
      </c>
      <c r="E10" s="148" t="s">
        <v>139</v>
      </c>
      <c r="F10" s="143" t="s">
        <v>167</v>
      </c>
      <c r="G10" s="144"/>
      <c r="I10" s="616" t="s">
        <v>917</v>
      </c>
      <c r="J10" s="616"/>
      <c r="K10" s="616"/>
      <c r="L10" s="616"/>
      <c r="M10" s="616"/>
      <c r="N10" s="616"/>
    </row>
    <row r="11" spans="1:14" ht="15" customHeight="1">
      <c r="A11" s="94"/>
      <c r="B11" s="608"/>
      <c r="C11" s="608"/>
      <c r="D11" s="147" t="s">
        <v>714</v>
      </c>
      <c r="E11" s="148" t="s">
        <v>139</v>
      </c>
      <c r="F11" s="143" t="s">
        <v>167</v>
      </c>
      <c r="G11" s="144"/>
      <c r="I11" s="129" t="s">
        <v>442</v>
      </c>
      <c r="J11" s="129"/>
      <c r="K11" s="129"/>
      <c r="L11" s="129"/>
      <c r="M11" s="129"/>
      <c r="N11" s="129"/>
    </row>
    <row r="12" spans="1:14" ht="28.2" customHeight="1">
      <c r="A12" s="94"/>
      <c r="B12" s="608"/>
      <c r="C12" s="608"/>
      <c r="D12" s="147" t="s">
        <v>986</v>
      </c>
      <c r="E12" s="148" t="s">
        <v>139</v>
      </c>
      <c r="F12" s="143" t="s">
        <v>167</v>
      </c>
      <c r="G12" s="144"/>
      <c r="I12" s="603" t="s">
        <v>443</v>
      </c>
      <c r="J12" s="603"/>
      <c r="K12" s="603"/>
      <c r="L12" s="603"/>
      <c r="M12" s="603"/>
      <c r="N12" s="604"/>
    </row>
    <row r="13" spans="1:14" ht="16.8" customHeight="1">
      <c r="A13" s="94"/>
      <c r="B13" s="608"/>
      <c r="C13" s="608"/>
      <c r="D13" s="193" t="s">
        <v>1668</v>
      </c>
      <c r="E13" s="194"/>
      <c r="F13" s="195" t="str">
        <f>IF(E13="","",IF(AND(E13&gt;=29,E13&lt;=64),"COMPLIANT","NOT COMPLIANT"))</f>
        <v/>
      </c>
      <c r="G13" s="144"/>
      <c r="I13" s="150" t="s">
        <v>989</v>
      </c>
      <c r="J13" s="122"/>
      <c r="K13" s="122"/>
      <c r="L13" s="122"/>
      <c r="M13" s="122"/>
      <c r="N13" s="122"/>
    </row>
    <row r="14" spans="1:14" ht="15" customHeight="1">
      <c r="A14" s="94"/>
      <c r="B14" s="608"/>
      <c r="C14" s="608"/>
      <c r="D14" s="147" t="s">
        <v>715</v>
      </c>
      <c r="E14" s="148" t="s">
        <v>139</v>
      </c>
      <c r="F14" s="143" t="s">
        <v>167</v>
      </c>
      <c r="G14" s="144"/>
      <c r="I14" s="605" t="s">
        <v>1401</v>
      </c>
      <c r="J14" s="605"/>
      <c r="K14" s="605"/>
      <c r="L14" s="605"/>
      <c r="M14" s="605"/>
      <c r="N14" s="605"/>
    </row>
    <row r="15" spans="1:14" ht="15" customHeight="1">
      <c r="A15" s="94"/>
      <c r="B15" s="584" t="s">
        <v>716</v>
      </c>
      <c r="C15" s="584"/>
      <c r="D15" s="584"/>
      <c r="E15" s="584"/>
      <c r="F15" s="143" t="s">
        <v>167</v>
      </c>
      <c r="G15" s="291">
        <f>SUM(G10:G14)</f>
        <v>0</v>
      </c>
      <c r="I15" s="606" t="s">
        <v>940</v>
      </c>
      <c r="J15" s="606"/>
      <c r="K15" s="140"/>
      <c r="L15" s="140"/>
      <c r="M15" s="141" t="s">
        <v>622</v>
      </c>
      <c r="N15" s="140" t="s">
        <v>985</v>
      </c>
    </row>
    <row r="16" spans="1:14" ht="15" customHeight="1">
      <c r="A16" s="94"/>
      <c r="B16" s="584" t="s">
        <v>169</v>
      </c>
      <c r="C16" s="584"/>
      <c r="D16" s="147"/>
      <c r="E16" s="147"/>
      <c r="F16" s="143" t="s">
        <v>170</v>
      </c>
      <c r="G16" s="183">
        <f>IFERROR(G15/G9,0)</f>
        <v>0</v>
      </c>
      <c r="I16" s="608" t="s">
        <v>191</v>
      </c>
      <c r="J16" s="608"/>
      <c r="K16" s="608"/>
      <c r="L16" s="608"/>
      <c r="M16" s="143" t="s">
        <v>167</v>
      </c>
      <c r="N16" s="144">
        <v>500</v>
      </c>
    </row>
    <row r="17" spans="1:14" ht="34.200000000000003" customHeight="1">
      <c r="A17" s="94"/>
      <c r="B17" s="151" t="s">
        <v>329</v>
      </c>
      <c r="C17" s="595" t="s">
        <v>1395</v>
      </c>
      <c r="D17" s="595"/>
      <c r="E17" s="153" t="s">
        <v>603</v>
      </c>
      <c r="F17" s="590">
        <f>IF(G16&gt;=50%,1,0)</f>
        <v>0</v>
      </c>
      <c r="G17" s="590"/>
      <c r="I17" s="608" t="s">
        <v>192</v>
      </c>
      <c r="J17" s="608"/>
      <c r="K17" s="147" t="s">
        <v>713</v>
      </c>
      <c r="L17" s="148" t="s">
        <v>139</v>
      </c>
      <c r="M17" s="143" t="s">
        <v>167</v>
      </c>
      <c r="N17" s="144"/>
    </row>
    <row r="18" spans="1:14" ht="16.2" customHeight="1">
      <c r="A18" s="94"/>
      <c r="B18" s="589" t="s">
        <v>585</v>
      </c>
      <c r="C18" s="589"/>
      <c r="D18" s="589"/>
      <c r="E18" s="589"/>
      <c r="F18" s="589"/>
      <c r="G18" s="589"/>
      <c r="I18" s="608"/>
      <c r="J18" s="608"/>
      <c r="K18" s="147" t="s">
        <v>714</v>
      </c>
      <c r="L18" s="148" t="s">
        <v>139</v>
      </c>
      <c r="M18" s="143" t="s">
        <v>167</v>
      </c>
      <c r="N18" s="144"/>
    </row>
    <row r="19" spans="1:14" ht="15" customHeight="1">
      <c r="A19" s="94"/>
      <c r="B19" s="583" t="s">
        <v>1389</v>
      </c>
      <c r="C19" s="594"/>
      <c r="D19" s="594"/>
      <c r="E19" s="594"/>
      <c r="F19" s="594"/>
      <c r="G19" s="594"/>
      <c r="I19" s="608"/>
      <c r="J19" s="608"/>
      <c r="K19" s="147" t="s">
        <v>986</v>
      </c>
      <c r="L19" s="148" t="s">
        <v>139</v>
      </c>
      <c r="M19" s="143" t="s">
        <v>167</v>
      </c>
      <c r="N19" s="144"/>
    </row>
    <row r="20" spans="1:14" ht="15" customHeight="1">
      <c r="A20" s="94"/>
      <c r="B20" s="583" t="s">
        <v>1390</v>
      </c>
      <c r="C20" s="594"/>
      <c r="D20" s="594"/>
      <c r="E20" s="594"/>
      <c r="F20" s="594"/>
      <c r="G20" s="594"/>
      <c r="I20" s="608"/>
      <c r="J20" s="608"/>
      <c r="K20" s="193" t="s">
        <v>1668</v>
      </c>
      <c r="L20" s="194">
        <v>30</v>
      </c>
      <c r="M20" s="195" t="str">
        <f>IF(L20="","",IF(AND(L20&gt;=29,L20&lt;=64),"COMPLIANT","NOT COMPLIANT"))</f>
        <v>COMPLIANT</v>
      </c>
      <c r="N20" s="144"/>
    </row>
    <row r="21" spans="1:14" ht="15" customHeight="1">
      <c r="A21" s="94"/>
      <c r="B21" s="583" t="s">
        <v>1391</v>
      </c>
      <c r="C21" s="583"/>
      <c r="D21" s="583"/>
      <c r="E21" s="583"/>
      <c r="F21" s="583"/>
      <c r="G21" s="583"/>
      <c r="I21" s="608"/>
      <c r="J21" s="608"/>
      <c r="K21" s="147" t="s">
        <v>715</v>
      </c>
      <c r="L21" s="148" t="s">
        <v>139</v>
      </c>
      <c r="M21" s="143" t="s">
        <v>167</v>
      </c>
      <c r="N21" s="144"/>
    </row>
    <row r="22" spans="1:14" ht="15" customHeight="1">
      <c r="A22" s="94"/>
      <c r="B22" s="583" t="s">
        <v>1392</v>
      </c>
      <c r="C22" s="583"/>
      <c r="D22" s="583"/>
      <c r="E22" s="583"/>
      <c r="F22" s="583"/>
      <c r="G22" s="583"/>
      <c r="I22" s="584" t="s">
        <v>716</v>
      </c>
      <c r="J22" s="584"/>
      <c r="K22" s="584"/>
      <c r="L22" s="584"/>
      <c r="M22" s="143" t="s">
        <v>167</v>
      </c>
      <c r="N22" s="291">
        <f>SUM(N17:N21)</f>
        <v>0</v>
      </c>
    </row>
    <row r="23" spans="1:14" ht="14.4" customHeight="1">
      <c r="A23" s="94"/>
      <c r="B23" s="583" t="s">
        <v>1393</v>
      </c>
      <c r="C23" s="583"/>
      <c r="D23" s="583"/>
      <c r="E23" s="583"/>
      <c r="F23" s="583"/>
      <c r="G23" s="583"/>
      <c r="I23" s="615" t="s">
        <v>169</v>
      </c>
      <c r="J23" s="615"/>
      <c r="K23" s="147"/>
      <c r="L23" s="147"/>
      <c r="M23" s="143" t="s">
        <v>170</v>
      </c>
      <c r="N23" s="190">
        <f>IFERROR(G22/G15,0)</f>
        <v>0</v>
      </c>
    </row>
    <row r="24" spans="1:14" ht="28.2" customHeight="1">
      <c r="A24" s="94"/>
      <c r="B24" s="583" t="s">
        <v>1394</v>
      </c>
      <c r="C24" s="583"/>
      <c r="D24" s="583"/>
      <c r="E24" s="583"/>
      <c r="F24" s="583"/>
      <c r="G24" s="583"/>
      <c r="I24" s="572" t="s">
        <v>1402</v>
      </c>
      <c r="J24" s="572"/>
      <c r="K24" s="572"/>
      <c r="L24" s="572"/>
      <c r="M24" s="572"/>
      <c r="N24" s="572"/>
    </row>
    <row r="25" spans="1:14" ht="15" customHeight="1">
      <c r="A25" s="94"/>
      <c r="B25" s="616" t="s">
        <v>917</v>
      </c>
      <c r="C25" s="616"/>
      <c r="D25" s="616"/>
      <c r="E25" s="616"/>
      <c r="F25" s="616"/>
      <c r="G25" s="616"/>
      <c r="I25" s="155" t="s">
        <v>940</v>
      </c>
      <c r="J25" s="156"/>
      <c r="K25" s="156"/>
      <c r="L25" s="156"/>
      <c r="M25" s="157" t="s">
        <v>622</v>
      </c>
      <c r="N25" s="156" t="s">
        <v>985</v>
      </c>
    </row>
    <row r="26" spans="1:14" ht="15" customHeight="1">
      <c r="A26" s="94"/>
      <c r="B26" s="592" t="s">
        <v>193</v>
      </c>
      <c r="C26" s="592"/>
      <c r="D26" s="592"/>
      <c r="E26" s="592"/>
      <c r="F26" s="592"/>
      <c r="G26" s="592"/>
      <c r="I26" s="158" t="s">
        <v>194</v>
      </c>
      <c r="J26" s="158"/>
      <c r="K26" s="159"/>
      <c r="L26" s="158"/>
      <c r="M26" s="160" t="s">
        <v>167</v>
      </c>
      <c r="N26" s="161">
        <v>1000</v>
      </c>
    </row>
    <row r="27" spans="1:14" ht="15" customHeight="1">
      <c r="A27" s="94"/>
      <c r="B27" s="619" t="s">
        <v>940</v>
      </c>
      <c r="C27" s="619"/>
      <c r="D27" s="140"/>
      <c r="E27" s="140"/>
      <c r="F27" s="141" t="s">
        <v>622</v>
      </c>
      <c r="G27" s="140" t="s">
        <v>985</v>
      </c>
      <c r="I27" s="158" t="s">
        <v>717</v>
      </c>
      <c r="J27" s="158"/>
      <c r="K27" s="159"/>
      <c r="L27" s="158"/>
      <c r="M27" s="160" t="s">
        <v>167</v>
      </c>
      <c r="N27" s="161"/>
    </row>
    <row r="28" spans="1:14" ht="15" customHeight="1">
      <c r="A28" s="94"/>
      <c r="B28" s="147" t="s">
        <v>194</v>
      </c>
      <c r="C28" s="147"/>
      <c r="D28" s="162"/>
      <c r="E28" s="147"/>
      <c r="F28" s="163" t="s">
        <v>167</v>
      </c>
      <c r="G28" s="144">
        <v>1000</v>
      </c>
      <c r="I28" s="109" t="s">
        <v>718</v>
      </c>
      <c r="J28" s="109"/>
      <c r="K28" s="110" t="s">
        <v>882</v>
      </c>
      <c r="L28" s="130" t="s">
        <v>883</v>
      </c>
      <c r="M28" s="164"/>
      <c r="N28" s="161"/>
    </row>
    <row r="29" spans="1:14" ht="15" customHeight="1">
      <c r="A29" s="94"/>
      <c r="B29" s="147" t="s">
        <v>717</v>
      </c>
      <c r="C29" s="147"/>
      <c r="D29" s="162"/>
      <c r="E29" s="147"/>
      <c r="F29" s="163" t="s">
        <v>167</v>
      </c>
      <c r="G29" s="144"/>
      <c r="I29" s="147" t="s">
        <v>905</v>
      </c>
      <c r="J29" s="148" t="s">
        <v>139</v>
      </c>
      <c r="K29" s="187">
        <v>82</v>
      </c>
      <c r="L29" s="186" t="s">
        <v>884</v>
      </c>
      <c r="M29" s="163" t="s">
        <v>167</v>
      </c>
      <c r="N29" s="161"/>
    </row>
    <row r="30" spans="1:14" ht="15" customHeight="1">
      <c r="A30" s="94"/>
      <c r="B30" s="165" t="s">
        <v>718</v>
      </c>
      <c r="C30" s="165"/>
      <c r="D30" s="166" t="s">
        <v>882</v>
      </c>
      <c r="E30" s="167" t="s">
        <v>883</v>
      </c>
      <c r="F30" s="149"/>
      <c r="G30" s="144"/>
      <c r="I30" s="591" t="s">
        <v>1668</v>
      </c>
      <c r="J30" s="591"/>
      <c r="K30" s="196"/>
      <c r="L30" s="197" t="str">
        <f>IF(K30="","",IF(K30&gt;=82,"COMPLIANT","NOT COMPLIANT"))</f>
        <v/>
      </c>
      <c r="M30" s="163"/>
      <c r="N30" s="161"/>
    </row>
    <row r="31" spans="1:14" ht="15" customHeight="1">
      <c r="A31" s="94"/>
      <c r="B31" s="147" t="s">
        <v>905</v>
      </c>
      <c r="C31" s="148" t="s">
        <v>139</v>
      </c>
      <c r="D31" s="187">
        <v>82</v>
      </c>
      <c r="E31" s="186" t="s">
        <v>884</v>
      </c>
      <c r="F31" s="163" t="s">
        <v>167</v>
      </c>
      <c r="G31" s="144"/>
      <c r="I31" s="147" t="s">
        <v>906</v>
      </c>
      <c r="J31" s="148" t="s">
        <v>139</v>
      </c>
      <c r="K31" s="188">
        <v>29</v>
      </c>
      <c r="L31" s="188">
        <v>64</v>
      </c>
      <c r="M31" s="163" t="s">
        <v>167</v>
      </c>
      <c r="N31" s="161"/>
    </row>
    <row r="32" spans="1:14" ht="15" customHeight="1">
      <c r="A32" s="94"/>
      <c r="B32" s="591" t="s">
        <v>1668</v>
      </c>
      <c r="C32" s="591"/>
      <c r="D32" s="196"/>
      <c r="E32" s="197" t="str">
        <f>IF(D32="","",IF(D32&gt;=82,"COMPLIANT","NOT COMPLIANT"))</f>
        <v/>
      </c>
      <c r="F32" s="163"/>
      <c r="G32" s="144"/>
      <c r="I32" s="591" t="s">
        <v>1668</v>
      </c>
      <c r="J32" s="591"/>
      <c r="K32" s="194"/>
      <c r="L32" s="198" t="str">
        <f>IF(K32="","",IF(AND(K32&gt;=29,K32&lt;=64),"COMPLIANT","NOT COMPLIANT"))</f>
        <v/>
      </c>
      <c r="M32" s="163"/>
      <c r="N32" s="161"/>
    </row>
    <row r="33" spans="1:14" ht="15" customHeight="1">
      <c r="A33" s="94"/>
      <c r="B33" s="147" t="s">
        <v>906</v>
      </c>
      <c r="C33" s="148" t="s">
        <v>139</v>
      </c>
      <c r="D33" s="188">
        <v>29</v>
      </c>
      <c r="E33" s="188">
        <v>64</v>
      </c>
      <c r="F33" s="163" t="s">
        <v>167</v>
      </c>
      <c r="G33" s="144"/>
      <c r="I33" s="147" t="s">
        <v>717</v>
      </c>
      <c r="J33" s="148" t="s">
        <v>139</v>
      </c>
      <c r="K33" s="188">
        <v>29</v>
      </c>
      <c r="L33" s="188">
        <v>64</v>
      </c>
      <c r="M33" s="163" t="s">
        <v>167</v>
      </c>
      <c r="N33" s="161"/>
    </row>
    <row r="34" spans="1:14" ht="15" customHeight="1">
      <c r="A34" s="94"/>
      <c r="B34" s="591" t="s">
        <v>1668</v>
      </c>
      <c r="C34" s="591"/>
      <c r="D34" s="194"/>
      <c r="E34" s="198" t="str">
        <f>IF(D34="","",IF(AND(D34&gt;=29,D34&lt;=64),"COMPLIANT","NOT COMPLIANT"))</f>
        <v/>
      </c>
      <c r="F34" s="163"/>
      <c r="G34" s="144"/>
      <c r="I34" s="591" t="s">
        <v>1668</v>
      </c>
      <c r="J34" s="591"/>
      <c r="K34" s="194"/>
      <c r="L34" s="198" t="str">
        <f>IF(K34="","",IF(AND(K34&gt;=29,K34&lt;=64),"COMPLIANT","NOT COMPLIANT"))</f>
        <v/>
      </c>
      <c r="M34" s="163"/>
      <c r="N34" s="161"/>
    </row>
    <row r="35" spans="1:14" ht="15" customHeight="1">
      <c r="A35" s="94"/>
      <c r="B35" s="147" t="s">
        <v>717</v>
      </c>
      <c r="C35" s="148" t="s">
        <v>139</v>
      </c>
      <c r="D35" s="188">
        <v>29</v>
      </c>
      <c r="E35" s="188">
        <v>64</v>
      </c>
      <c r="F35" s="163" t="s">
        <v>167</v>
      </c>
      <c r="G35" s="144"/>
      <c r="I35" s="147" t="s">
        <v>719</v>
      </c>
      <c r="J35" s="148"/>
      <c r="K35" s="143"/>
      <c r="L35" s="143"/>
      <c r="M35" s="163" t="s">
        <v>167</v>
      </c>
      <c r="N35" s="292">
        <f>SUM(N29:N33)</f>
        <v>0</v>
      </c>
    </row>
    <row r="36" spans="1:14" ht="15" customHeight="1">
      <c r="A36" s="94"/>
      <c r="B36" s="591" t="s">
        <v>1668</v>
      </c>
      <c r="C36" s="591"/>
      <c r="D36" s="194"/>
      <c r="E36" s="198" t="str">
        <f>IF(D36="","",IF(AND(D36&gt;=29,D36&lt;=64),"COMPLIANT","NOT COMPLIANT"))</f>
        <v/>
      </c>
      <c r="F36" s="163"/>
      <c r="G36" s="144"/>
      <c r="I36" s="168" t="s">
        <v>169</v>
      </c>
      <c r="J36" s="169"/>
      <c r="K36" s="170"/>
      <c r="L36" s="170"/>
      <c r="M36" s="171" t="s">
        <v>170</v>
      </c>
      <c r="N36" s="191">
        <f>IFERROR(N35/N26,0)</f>
        <v>0</v>
      </c>
    </row>
    <row r="37" spans="1:14" ht="36.6" customHeight="1">
      <c r="A37" s="94"/>
      <c r="B37" s="147" t="s">
        <v>719</v>
      </c>
      <c r="C37" s="148"/>
      <c r="D37" s="143"/>
      <c r="E37" s="143"/>
      <c r="F37" s="163" t="s">
        <v>167</v>
      </c>
      <c r="G37" s="291">
        <f>SUM(G31:G35)</f>
        <v>0</v>
      </c>
      <c r="I37" s="172" t="s">
        <v>987</v>
      </c>
      <c r="J37" s="586"/>
      <c r="K37" s="587"/>
      <c r="L37" s="587"/>
      <c r="M37" s="588"/>
      <c r="N37" s="192">
        <f>N23+N36</f>
        <v>0</v>
      </c>
    </row>
    <row r="38" spans="1:14" ht="32.4" customHeight="1">
      <c r="A38" s="94"/>
      <c r="B38" s="173" t="s">
        <v>169</v>
      </c>
      <c r="C38" s="174"/>
      <c r="D38" s="143"/>
      <c r="E38" s="143"/>
      <c r="F38" s="143" t="s">
        <v>170</v>
      </c>
      <c r="G38" s="185">
        <f>IFERROR(G37/G28,0)</f>
        <v>0</v>
      </c>
      <c r="I38" s="172" t="s">
        <v>988</v>
      </c>
      <c r="J38" s="617"/>
      <c r="K38" s="617"/>
      <c r="L38" s="617"/>
      <c r="M38" s="617"/>
      <c r="N38" s="175" t="s">
        <v>139</v>
      </c>
    </row>
    <row r="39" spans="1:14" ht="29.4" customHeight="1">
      <c r="A39" s="94"/>
      <c r="B39" s="151" t="s">
        <v>329</v>
      </c>
      <c r="C39" s="595" t="s">
        <v>1400</v>
      </c>
      <c r="D39" s="595"/>
      <c r="E39" s="153" t="s">
        <v>603</v>
      </c>
      <c r="F39" s="590">
        <f>IF(G38&gt;=95%,1,0)</f>
        <v>0</v>
      </c>
      <c r="G39" s="590"/>
      <c r="I39" s="172" t="s">
        <v>1403</v>
      </c>
      <c r="J39" s="617"/>
      <c r="K39" s="617"/>
      <c r="L39" s="617"/>
      <c r="M39" s="617"/>
      <c r="N39" s="175" t="s">
        <v>139</v>
      </c>
    </row>
    <row r="40" spans="1:14" ht="15.6" customHeight="1">
      <c r="A40" s="94"/>
      <c r="B40" s="589" t="s">
        <v>585</v>
      </c>
      <c r="C40" s="589"/>
      <c r="D40" s="589"/>
      <c r="E40" s="589"/>
      <c r="F40" s="589"/>
      <c r="G40" s="589"/>
    </row>
    <row r="41" spans="1:14" ht="24.6" customHeight="1">
      <c r="A41" s="94"/>
      <c r="B41" s="583" t="s">
        <v>1396</v>
      </c>
      <c r="C41" s="594"/>
      <c r="D41" s="594"/>
      <c r="E41" s="594"/>
      <c r="F41" s="594"/>
      <c r="G41" s="594"/>
      <c r="I41" s="145" t="s">
        <v>329</v>
      </c>
      <c r="J41" s="585" t="s">
        <v>1405</v>
      </c>
      <c r="K41" s="585"/>
      <c r="L41" s="585"/>
      <c r="M41" s="146" t="s">
        <v>603</v>
      </c>
      <c r="N41" s="14">
        <f>IF(AND(N37="",N38="",N39=""),"",IF(AND(N37&gt;0%,N38="☑",N39="☑"),1,0))</f>
        <v>0</v>
      </c>
    </row>
    <row r="42" spans="1:14" ht="30" customHeight="1">
      <c r="A42" s="94"/>
      <c r="B42" s="583" t="s">
        <v>1397</v>
      </c>
      <c r="C42" s="594"/>
      <c r="D42" s="594"/>
      <c r="E42" s="594"/>
      <c r="F42" s="594"/>
      <c r="G42" s="594"/>
      <c r="I42" s="612"/>
      <c r="J42" s="612"/>
      <c r="K42" s="612"/>
      <c r="L42" s="612"/>
      <c r="M42" s="612"/>
      <c r="N42" s="612"/>
    </row>
    <row r="43" spans="1:14" ht="17.399999999999999" customHeight="1">
      <c r="A43" s="94"/>
      <c r="B43" s="583" t="s">
        <v>1391</v>
      </c>
      <c r="C43" s="583"/>
      <c r="D43" s="583"/>
      <c r="E43" s="583"/>
      <c r="F43" s="583"/>
      <c r="G43" s="583"/>
      <c r="I43" s="612"/>
      <c r="J43" s="612"/>
      <c r="K43" s="612"/>
      <c r="L43" s="612"/>
      <c r="M43" s="612"/>
      <c r="N43" s="612"/>
    </row>
    <row r="44" spans="1:14" ht="16.8" customHeight="1">
      <c r="A44" s="94"/>
      <c r="B44" s="583" t="s">
        <v>1398</v>
      </c>
      <c r="C44" s="583"/>
      <c r="D44" s="583"/>
      <c r="E44" s="583"/>
      <c r="F44" s="583"/>
      <c r="G44" s="583"/>
      <c r="I44" s="612"/>
      <c r="J44" s="612"/>
      <c r="K44" s="612"/>
      <c r="L44" s="612"/>
      <c r="M44" s="612"/>
      <c r="N44" s="612"/>
    </row>
    <row r="45" spans="1:14" ht="20.399999999999999" customHeight="1">
      <c r="A45" s="94"/>
      <c r="B45" s="583" t="s">
        <v>1399</v>
      </c>
      <c r="C45" s="583"/>
      <c r="D45" s="583"/>
      <c r="E45" s="583"/>
      <c r="F45" s="583"/>
      <c r="G45" s="583"/>
      <c r="I45" s="612"/>
      <c r="J45" s="612"/>
      <c r="K45" s="612"/>
      <c r="L45" s="612"/>
      <c r="M45" s="612"/>
      <c r="N45" s="612"/>
    </row>
    <row r="46" spans="1:14" ht="16.8" customHeight="1">
      <c r="A46" s="94"/>
      <c r="B46" s="593"/>
      <c r="C46" s="593"/>
      <c r="D46" s="593"/>
      <c r="E46" s="593"/>
      <c r="F46" s="593"/>
      <c r="G46" s="593"/>
      <c r="I46" s="612"/>
      <c r="J46" s="612"/>
      <c r="K46" s="612"/>
      <c r="L46" s="612"/>
      <c r="M46" s="612"/>
      <c r="N46" s="612"/>
    </row>
    <row r="47" spans="1:14" ht="30" customHeight="1">
      <c r="A47" s="94"/>
      <c r="B47" s="618" t="s">
        <v>17</v>
      </c>
      <c r="C47" s="618"/>
      <c r="D47" s="618"/>
      <c r="E47" s="178"/>
      <c r="F47" s="596" t="s">
        <v>189</v>
      </c>
      <c r="G47" s="596"/>
      <c r="H47" s="596"/>
      <c r="I47" s="596"/>
      <c r="J47" s="596"/>
      <c r="K47" s="596"/>
      <c r="L47" s="597">
        <f>F1</f>
        <v>0</v>
      </c>
      <c r="M47" s="597"/>
      <c r="N47" s="597"/>
    </row>
    <row r="48" spans="1:14" ht="15" customHeight="1">
      <c r="A48" s="94"/>
      <c r="B48" s="581"/>
      <c r="C48" s="581"/>
      <c r="D48" s="581"/>
      <c r="E48" s="581"/>
      <c r="F48" s="581"/>
      <c r="G48" s="581"/>
    </row>
    <row r="49" spans="1:14" ht="13.8" customHeight="1">
      <c r="A49" s="94"/>
      <c r="B49" s="180" t="s">
        <v>1661</v>
      </c>
      <c r="C49" s="180"/>
      <c r="D49" s="180"/>
      <c r="E49" s="180"/>
      <c r="F49" s="180"/>
      <c r="G49" s="180"/>
      <c r="I49" s="620" t="s">
        <v>1661</v>
      </c>
      <c r="J49" s="620"/>
      <c r="K49" s="620"/>
      <c r="L49" s="620"/>
      <c r="M49" s="620"/>
      <c r="N49" s="620"/>
    </row>
    <row r="50" spans="1:14" ht="13.95" customHeight="1">
      <c r="A50" s="94"/>
      <c r="B50" s="581" t="s">
        <v>190</v>
      </c>
      <c r="C50" s="581"/>
      <c r="D50" s="581"/>
      <c r="E50" s="92"/>
      <c r="I50" s="581" t="s">
        <v>440</v>
      </c>
      <c r="J50" s="581"/>
      <c r="K50" s="581"/>
      <c r="L50" s="581"/>
      <c r="M50" s="581"/>
      <c r="N50" s="101"/>
    </row>
    <row r="51" spans="1:14" ht="13.95" customHeight="1">
      <c r="A51" s="103"/>
      <c r="B51" s="560" t="s">
        <v>907</v>
      </c>
      <c r="C51" s="560"/>
      <c r="D51" s="560"/>
      <c r="E51" s="560"/>
      <c r="F51" s="560"/>
      <c r="G51" s="560"/>
      <c r="H51" s="181">
        <v>1</v>
      </c>
      <c r="I51" s="560" t="s">
        <v>914</v>
      </c>
      <c r="J51" s="560"/>
      <c r="K51" s="560"/>
      <c r="L51" s="560"/>
      <c r="M51" s="560"/>
      <c r="N51" s="101" t="s">
        <v>139</v>
      </c>
    </row>
    <row r="52" spans="1:14" ht="13.95" customHeight="1">
      <c r="A52" s="103"/>
      <c r="B52" s="560" t="s">
        <v>908</v>
      </c>
      <c r="C52" s="560"/>
      <c r="D52" s="560"/>
      <c r="E52" s="560"/>
      <c r="F52" s="560"/>
      <c r="G52" s="560"/>
      <c r="H52" s="114"/>
      <c r="I52" s="132" t="s">
        <v>442</v>
      </c>
      <c r="J52" s="104"/>
      <c r="K52" s="104"/>
      <c r="L52" s="104"/>
      <c r="M52" s="104"/>
      <c r="N52" s="101"/>
    </row>
    <row r="53" spans="1:14" ht="13.95" customHeight="1">
      <c r="A53" s="103"/>
      <c r="B53" s="560" t="s">
        <v>909</v>
      </c>
      <c r="C53" s="560"/>
      <c r="D53" s="560"/>
      <c r="E53" s="560"/>
      <c r="F53" s="560"/>
      <c r="G53" s="560"/>
      <c r="H53" s="114">
        <v>1</v>
      </c>
      <c r="I53" s="560" t="s">
        <v>915</v>
      </c>
      <c r="J53" s="560"/>
      <c r="K53" s="560"/>
      <c r="L53" s="560"/>
      <c r="M53" s="560"/>
      <c r="N53" s="101" t="s">
        <v>139</v>
      </c>
    </row>
    <row r="54" spans="1:14" ht="17.399999999999999" customHeight="1">
      <c r="A54" s="103"/>
      <c r="B54" s="560" t="s">
        <v>910</v>
      </c>
      <c r="C54" s="560"/>
      <c r="D54" s="560"/>
      <c r="E54" s="560"/>
      <c r="F54" s="560"/>
      <c r="G54" s="560"/>
      <c r="H54" s="114">
        <v>2</v>
      </c>
      <c r="I54" s="560" t="s">
        <v>909</v>
      </c>
      <c r="J54" s="560"/>
      <c r="K54" s="560"/>
      <c r="L54" s="560"/>
      <c r="M54" s="560"/>
      <c r="N54" s="101" t="s">
        <v>139</v>
      </c>
    </row>
    <row r="55" spans="1:14" ht="15.6" customHeight="1">
      <c r="A55" s="103"/>
      <c r="B55" s="560" t="s">
        <v>911</v>
      </c>
      <c r="C55" s="560"/>
      <c r="D55" s="560"/>
      <c r="E55" s="560"/>
      <c r="F55" s="560"/>
      <c r="G55" s="560"/>
      <c r="H55" s="114">
        <v>3</v>
      </c>
      <c r="I55" s="560" t="s">
        <v>910</v>
      </c>
      <c r="J55" s="560"/>
      <c r="K55" s="560"/>
      <c r="L55" s="560"/>
      <c r="M55" s="560"/>
      <c r="N55" s="101" t="s">
        <v>139</v>
      </c>
    </row>
    <row r="56" spans="1:14" ht="15" customHeight="1">
      <c r="A56" s="103"/>
      <c r="B56" s="581" t="s">
        <v>193</v>
      </c>
      <c r="C56" s="581"/>
      <c r="D56" s="581"/>
      <c r="E56" s="104"/>
      <c r="F56" s="104"/>
      <c r="G56" s="101"/>
      <c r="H56" s="114">
        <v>4</v>
      </c>
      <c r="I56" s="560" t="s">
        <v>916</v>
      </c>
      <c r="J56" s="560"/>
      <c r="K56" s="560"/>
      <c r="L56" s="560"/>
      <c r="M56" s="560"/>
      <c r="N56" s="101" t="s">
        <v>139</v>
      </c>
    </row>
    <row r="57" spans="1:14" ht="15.6" customHeight="1">
      <c r="A57" s="103"/>
      <c r="B57" s="560" t="s">
        <v>912</v>
      </c>
      <c r="C57" s="560"/>
      <c r="D57" s="560"/>
      <c r="E57" s="560"/>
      <c r="F57" s="560"/>
      <c r="G57" s="560"/>
      <c r="H57" s="114"/>
      <c r="I57" s="182" t="s">
        <v>147</v>
      </c>
      <c r="J57" s="182"/>
      <c r="K57" s="182"/>
      <c r="L57" s="182"/>
      <c r="M57" s="182"/>
    </row>
    <row r="58" spans="1:14" ht="17.399999999999999" customHeight="1">
      <c r="A58" s="103"/>
      <c r="B58" s="560" t="s">
        <v>909</v>
      </c>
      <c r="C58" s="560"/>
      <c r="D58" s="560"/>
      <c r="E58" s="560"/>
      <c r="F58" s="560"/>
      <c r="G58" s="560"/>
      <c r="H58" s="114">
        <v>1</v>
      </c>
      <c r="I58" s="104"/>
      <c r="J58" s="104"/>
      <c r="K58" s="104"/>
      <c r="L58" s="104"/>
      <c r="M58" s="104"/>
      <c r="N58" s="101"/>
    </row>
    <row r="59" spans="1:14" ht="17.399999999999999" customHeight="1">
      <c r="A59" s="103"/>
      <c r="B59" s="560" t="s">
        <v>910</v>
      </c>
      <c r="C59" s="560"/>
      <c r="D59" s="560"/>
      <c r="E59" s="560"/>
      <c r="F59" s="560"/>
      <c r="G59" s="560"/>
      <c r="H59" s="114">
        <v>2</v>
      </c>
    </row>
    <row r="60" spans="1:14" ht="17.399999999999999" customHeight="1">
      <c r="A60" s="103"/>
      <c r="B60" s="560" t="s">
        <v>913</v>
      </c>
      <c r="C60" s="560"/>
      <c r="D60" s="560"/>
      <c r="E60" s="560"/>
      <c r="F60" s="560"/>
      <c r="G60" s="560"/>
      <c r="H60" s="114">
        <v>3</v>
      </c>
    </row>
    <row r="61" spans="1:14" ht="17.399999999999999" customHeight="1">
      <c r="A61" s="103"/>
      <c r="B61" s="531" t="s">
        <v>147</v>
      </c>
      <c r="C61" s="531"/>
      <c r="D61" s="531"/>
      <c r="E61" s="531"/>
      <c r="F61" s="104"/>
      <c r="G61" s="101"/>
    </row>
    <row r="62" spans="1:14" ht="17.399999999999999" customHeight="1">
      <c r="A62" s="103"/>
      <c r="B62" s="560"/>
      <c r="C62" s="560"/>
      <c r="D62" s="560"/>
      <c r="E62" s="560"/>
      <c r="F62" s="560"/>
      <c r="G62" s="560"/>
    </row>
    <row r="63" spans="1:14" ht="17.399999999999999" customHeight="1">
      <c r="A63" s="103"/>
      <c r="B63" s="132"/>
      <c r="C63" s="104"/>
      <c r="D63" s="104"/>
      <c r="E63" s="104"/>
      <c r="F63" s="104"/>
      <c r="G63" s="101"/>
    </row>
    <row r="64" spans="1:14" ht="17.399999999999999" customHeight="1">
      <c r="A64" s="103"/>
      <c r="B64" s="560"/>
      <c r="C64" s="560"/>
      <c r="D64" s="560"/>
      <c r="E64" s="560"/>
      <c r="F64" s="560"/>
      <c r="G64" s="560"/>
    </row>
    <row r="65" spans="1:7" ht="17.399999999999999" customHeight="1">
      <c r="A65" s="94"/>
      <c r="B65" s="560"/>
      <c r="C65" s="560"/>
      <c r="D65" s="560"/>
      <c r="E65" s="560"/>
      <c r="F65" s="560"/>
      <c r="G65" s="560"/>
    </row>
    <row r="66" spans="1:7" ht="17.399999999999999" customHeight="1">
      <c r="A66" s="94"/>
      <c r="B66" s="560"/>
      <c r="C66" s="560"/>
      <c r="D66" s="560"/>
      <c r="E66" s="560"/>
      <c r="F66" s="560"/>
      <c r="G66" s="560"/>
    </row>
    <row r="67" spans="1:7" ht="16.2" customHeight="1">
      <c r="A67" s="94"/>
      <c r="B67" s="560"/>
      <c r="C67" s="560"/>
      <c r="D67" s="560"/>
      <c r="E67" s="560"/>
      <c r="F67" s="560"/>
      <c r="G67" s="560"/>
    </row>
    <row r="68" spans="1:7" ht="13.8" customHeight="1">
      <c r="A68" s="94"/>
      <c r="B68" s="531"/>
      <c r="C68" s="531"/>
      <c r="D68" s="531"/>
      <c r="E68" s="531"/>
    </row>
    <row r="69" spans="1:7">
      <c r="A69" s="94"/>
      <c r="B69" s="581"/>
      <c r="C69" s="581"/>
      <c r="D69" s="581"/>
      <c r="E69" s="92"/>
    </row>
    <row r="70" spans="1:7">
      <c r="A70" s="94"/>
      <c r="B70" s="560"/>
      <c r="C70" s="560"/>
      <c r="D70" s="560"/>
      <c r="E70" s="560"/>
      <c r="F70" s="560"/>
      <c r="G70" s="560"/>
    </row>
    <row r="71" spans="1:7">
      <c r="B71" s="560"/>
      <c r="C71" s="560"/>
      <c r="D71" s="560"/>
      <c r="E71" s="560"/>
      <c r="F71" s="560"/>
      <c r="G71" s="560"/>
    </row>
    <row r="72" spans="1:7">
      <c r="B72" s="560"/>
      <c r="C72" s="560"/>
      <c r="D72" s="560"/>
      <c r="E72" s="560"/>
      <c r="F72" s="560"/>
      <c r="G72" s="560"/>
    </row>
    <row r="73" spans="1:7">
      <c r="B73" s="560"/>
      <c r="C73" s="560"/>
      <c r="D73" s="560"/>
      <c r="E73" s="560"/>
      <c r="F73" s="560"/>
      <c r="G73" s="560"/>
    </row>
    <row r="74" spans="1:7">
      <c r="B74" s="560"/>
      <c r="C74" s="560"/>
      <c r="D74" s="560"/>
      <c r="E74" s="560"/>
      <c r="F74" s="560"/>
      <c r="G74" s="560"/>
    </row>
    <row r="75" spans="1:7" ht="17.399999999999999">
      <c r="B75" s="581"/>
      <c r="C75" s="581"/>
      <c r="D75" s="581"/>
      <c r="E75" s="104"/>
      <c r="F75" s="104"/>
      <c r="G75" s="101"/>
    </row>
    <row r="76" spans="1:7">
      <c r="B76" s="560"/>
      <c r="C76" s="560"/>
      <c r="D76" s="560"/>
      <c r="E76" s="560"/>
      <c r="F76" s="560"/>
      <c r="G76" s="560"/>
    </row>
    <row r="77" spans="1:7">
      <c r="B77" s="560"/>
      <c r="C77" s="560"/>
      <c r="D77" s="560"/>
      <c r="E77" s="560"/>
      <c r="F77" s="560"/>
      <c r="G77" s="560"/>
    </row>
    <row r="78" spans="1:7">
      <c r="B78" s="560"/>
      <c r="C78" s="560"/>
      <c r="D78" s="560"/>
      <c r="E78" s="560"/>
      <c r="F78" s="560"/>
      <c r="G78" s="560"/>
    </row>
    <row r="79" spans="1:7">
      <c r="B79" s="560"/>
      <c r="C79" s="560"/>
      <c r="D79" s="560"/>
      <c r="E79" s="560"/>
      <c r="F79" s="560"/>
      <c r="G79" s="560"/>
    </row>
    <row r="80" spans="1:7" ht="17.399999999999999">
      <c r="B80" s="132"/>
      <c r="C80" s="104"/>
      <c r="D80" s="104"/>
      <c r="E80" s="104"/>
      <c r="F80" s="104"/>
      <c r="G80" s="101"/>
    </row>
    <row r="81" spans="2:7">
      <c r="B81" s="560"/>
      <c r="C81" s="560"/>
      <c r="D81" s="560"/>
      <c r="E81" s="560"/>
      <c r="F81" s="560"/>
      <c r="G81" s="560"/>
    </row>
    <row r="82" spans="2:7" ht="17.399999999999999">
      <c r="B82" s="132"/>
      <c r="C82" s="104"/>
      <c r="D82" s="104"/>
      <c r="E82" s="104"/>
      <c r="F82" s="104"/>
      <c r="G82" s="101"/>
    </row>
    <row r="83" spans="2:7">
      <c r="B83" s="560"/>
      <c r="C83" s="560"/>
      <c r="D83" s="560"/>
      <c r="E83" s="560"/>
      <c r="F83" s="560"/>
      <c r="G83" s="560"/>
    </row>
    <row r="84" spans="2:7">
      <c r="B84" s="560"/>
      <c r="C84" s="560"/>
      <c r="D84" s="560"/>
      <c r="E84" s="560"/>
      <c r="F84" s="560"/>
      <c r="G84" s="560"/>
    </row>
    <row r="85" spans="2:7">
      <c r="B85" s="560"/>
      <c r="C85" s="560"/>
      <c r="D85" s="560"/>
      <c r="E85" s="560"/>
      <c r="F85" s="560"/>
      <c r="G85" s="560"/>
    </row>
    <row r="86" spans="2:7">
      <c r="B86" s="560"/>
      <c r="C86" s="560"/>
      <c r="D86" s="560"/>
      <c r="E86" s="560"/>
      <c r="F86" s="560"/>
      <c r="G86" s="560"/>
    </row>
    <row r="87" spans="2:7">
      <c r="B87" s="531"/>
      <c r="C87" s="531"/>
      <c r="D87" s="531"/>
      <c r="E87" s="531"/>
    </row>
    <row r="88" spans="2:7">
      <c r="B88" s="97"/>
      <c r="C88" s="97"/>
      <c r="D88" s="97"/>
      <c r="E88" s="97"/>
    </row>
    <row r="89" spans="2:7">
      <c r="B89" s="97"/>
      <c r="C89" s="97"/>
      <c r="D89" s="97"/>
      <c r="E89" s="97"/>
    </row>
    <row r="90" spans="2:7">
      <c r="B90" s="97"/>
      <c r="C90" s="97"/>
      <c r="D90" s="97"/>
      <c r="E90" s="97"/>
    </row>
  </sheetData>
  <sheetProtection sheet="1" objects="1" scenarios="1"/>
  <mergeCells count="107">
    <mergeCell ref="I54:M54"/>
    <mergeCell ref="I22:L22"/>
    <mergeCell ref="I23:J23"/>
    <mergeCell ref="I4:N4"/>
    <mergeCell ref="I10:N10"/>
    <mergeCell ref="C39:D39"/>
    <mergeCell ref="I24:N24"/>
    <mergeCell ref="J38:M38"/>
    <mergeCell ref="J39:M39"/>
    <mergeCell ref="J9:K9"/>
    <mergeCell ref="I53:M53"/>
    <mergeCell ref="I50:M50"/>
    <mergeCell ref="I51:M51"/>
    <mergeCell ref="B47:D47"/>
    <mergeCell ref="I30:J30"/>
    <mergeCell ref="I32:J32"/>
    <mergeCell ref="I34:J34"/>
    <mergeCell ref="B25:G25"/>
    <mergeCell ref="B27:C27"/>
    <mergeCell ref="I49:N49"/>
    <mergeCell ref="I17:J21"/>
    <mergeCell ref="B45:G45"/>
    <mergeCell ref="I16:L16"/>
    <mergeCell ref="B9:E9"/>
    <mergeCell ref="I55:M55"/>
    <mergeCell ref="I56:M56"/>
    <mergeCell ref="F47:K47"/>
    <mergeCell ref="L47:N47"/>
    <mergeCell ref="B51:G51"/>
    <mergeCell ref="L1:N1"/>
    <mergeCell ref="B1:E1"/>
    <mergeCell ref="F1:I1"/>
    <mergeCell ref="L3:N3"/>
    <mergeCell ref="G2:K2"/>
    <mergeCell ref="I8:M8"/>
    <mergeCell ref="I12:N12"/>
    <mergeCell ref="I14:N14"/>
    <mergeCell ref="I15:J15"/>
    <mergeCell ref="J1:K1"/>
    <mergeCell ref="E3:G3"/>
    <mergeCell ref="B4:G4"/>
    <mergeCell ref="B10:C14"/>
    <mergeCell ref="B8:C8"/>
    <mergeCell ref="B2:D2"/>
    <mergeCell ref="L9:M9"/>
    <mergeCell ref="I42:N46"/>
    <mergeCell ref="B7:F7"/>
    <mergeCell ref="B6:N6"/>
    <mergeCell ref="B50:D50"/>
    <mergeCell ref="B56:D56"/>
    <mergeCell ref="B57:G57"/>
    <mergeCell ref="F17:G17"/>
    <mergeCell ref="B32:C32"/>
    <mergeCell ref="B55:G55"/>
    <mergeCell ref="B26:G26"/>
    <mergeCell ref="B46:G46"/>
    <mergeCell ref="B48:G48"/>
    <mergeCell ref="B40:G40"/>
    <mergeCell ref="B41:G41"/>
    <mergeCell ref="B42:G42"/>
    <mergeCell ref="B43:G43"/>
    <mergeCell ref="B52:G52"/>
    <mergeCell ref="B53:G53"/>
    <mergeCell ref="B54:G54"/>
    <mergeCell ref="B34:C34"/>
    <mergeCell ref="B36:C36"/>
    <mergeCell ref="F39:G39"/>
    <mergeCell ref="B24:G24"/>
    <mergeCell ref="C17:D17"/>
    <mergeCell ref="B19:G19"/>
    <mergeCell ref="B44:G44"/>
    <mergeCell ref="B20:G20"/>
    <mergeCell ref="B68:E68"/>
    <mergeCell ref="B87:E87"/>
    <mergeCell ref="B83:G83"/>
    <mergeCell ref="B84:G84"/>
    <mergeCell ref="B85:G85"/>
    <mergeCell ref="B86:G86"/>
    <mergeCell ref="B78:G78"/>
    <mergeCell ref="B79:G79"/>
    <mergeCell ref="B81:G81"/>
    <mergeCell ref="B76:G76"/>
    <mergeCell ref="B77:G77"/>
    <mergeCell ref="B21:G21"/>
    <mergeCell ref="B22:G22"/>
    <mergeCell ref="B23:G23"/>
    <mergeCell ref="B16:C16"/>
    <mergeCell ref="B15:E15"/>
    <mergeCell ref="J41:L41"/>
    <mergeCell ref="J37:M37"/>
    <mergeCell ref="B18:G18"/>
    <mergeCell ref="B75:D75"/>
    <mergeCell ref="B70:G70"/>
    <mergeCell ref="B71:G71"/>
    <mergeCell ref="B72:G72"/>
    <mergeCell ref="B73:G73"/>
    <mergeCell ref="B58:G58"/>
    <mergeCell ref="B59:G59"/>
    <mergeCell ref="B65:G65"/>
    <mergeCell ref="B66:G66"/>
    <mergeCell ref="B74:G74"/>
    <mergeCell ref="B60:G60"/>
    <mergeCell ref="B62:G62"/>
    <mergeCell ref="B64:G64"/>
    <mergeCell ref="B61:E61"/>
    <mergeCell ref="B69:D69"/>
    <mergeCell ref="B67:G67"/>
  </mergeCells>
  <conditionalFormatting sqref="F31:F32">
    <cfRule type="expression" dxfId="145" priority="43">
      <formula>#REF!&lt;&gt;"☑"</formula>
    </cfRule>
  </conditionalFormatting>
  <conditionalFormatting sqref="F33:F34">
    <cfRule type="expression" dxfId="144" priority="42">
      <formula>#REF!&lt;&gt;"☑"</formula>
    </cfRule>
  </conditionalFormatting>
  <conditionalFormatting sqref="F35:F36">
    <cfRule type="expression" dxfId="143" priority="41">
      <formula>#REF!&lt;&gt;"☑"</formula>
    </cfRule>
  </conditionalFormatting>
  <conditionalFormatting sqref="M29:M30">
    <cfRule type="expression" dxfId="142" priority="22">
      <formula>#REF!&lt;&gt;"☑"</formula>
    </cfRule>
  </conditionalFormatting>
  <conditionalFormatting sqref="M31:M32">
    <cfRule type="expression" dxfId="141" priority="21">
      <formula>#REF!&lt;&gt;"☑"</formula>
    </cfRule>
  </conditionalFormatting>
  <conditionalFormatting sqref="M33:M34">
    <cfRule type="expression" dxfId="140" priority="20">
      <formula>#REF!&lt;&gt;"☑"</formula>
    </cfRule>
  </conditionalFormatting>
  <conditionalFormatting sqref="F13">
    <cfRule type="expression" dxfId="139" priority="13">
      <formula>#REF!="COMPLIANT"</formula>
    </cfRule>
    <cfRule type="expression" dxfId="138" priority="14">
      <formula>#REF!="NOT COMPLIANT"</formula>
    </cfRule>
    <cfRule type="expression" dxfId="137" priority="15">
      <formula>#REF!="NOT COMPLIANT"</formula>
    </cfRule>
  </conditionalFormatting>
  <conditionalFormatting sqref="D13:F13">
    <cfRule type="expression" dxfId="136" priority="11">
      <formula>$E$12&lt;&gt;"☑"</formula>
    </cfRule>
    <cfRule type="expression" dxfId="135" priority="12">
      <formula>#REF!&lt;&gt;"☑"</formula>
    </cfRule>
  </conditionalFormatting>
  <conditionalFormatting sqref="D31:E31 B32:E32">
    <cfRule type="expression" dxfId="134" priority="10">
      <formula>$C$31&lt;&gt;"☑"</formula>
    </cfRule>
  </conditionalFormatting>
  <conditionalFormatting sqref="D33:E33 B34:E34">
    <cfRule type="expression" dxfId="133" priority="9">
      <formula>$C$33&lt;&gt;"☑"</formula>
    </cfRule>
  </conditionalFormatting>
  <conditionalFormatting sqref="D35:E35 B36:E36">
    <cfRule type="expression" dxfId="132" priority="8">
      <formula>$C$35&lt;&gt;"☑"</formula>
    </cfRule>
  </conditionalFormatting>
  <conditionalFormatting sqref="K20:M20">
    <cfRule type="expression" dxfId="131" priority="7">
      <formula>$L$19&lt;&gt;"☑"</formula>
    </cfRule>
  </conditionalFormatting>
  <conditionalFormatting sqref="K29:L29 I30:L30">
    <cfRule type="expression" dxfId="130" priority="6">
      <formula>$J$29&lt;&gt;"☑"</formula>
    </cfRule>
  </conditionalFormatting>
  <conditionalFormatting sqref="K31:L31 I32:L32">
    <cfRule type="expression" dxfId="129" priority="5">
      <formula>$J$31&lt;&gt;"☑"</formula>
    </cfRule>
  </conditionalFormatting>
  <conditionalFormatting sqref="K33:L33 I34:L34">
    <cfRule type="expression" dxfId="128" priority="4">
      <formula>$J$33&lt;&gt;"☑"</formula>
    </cfRule>
  </conditionalFormatting>
  <conditionalFormatting sqref="B8:G45">
    <cfRule type="expression" dxfId="127" priority="2">
      <formula>$G$7&lt;&gt;"☑"</formula>
    </cfRule>
    <cfRule type="expression" dxfId="126" priority="3">
      <formula>$G$7&lt;&gt;"☑"</formula>
    </cfRule>
  </conditionalFormatting>
  <conditionalFormatting sqref="I8:N46">
    <cfRule type="expression" dxfId="125" priority="1">
      <formula>$N$7&lt;&gt;"☑"</formula>
    </cfRule>
  </conditionalFormatting>
  <dataValidations count="3">
    <dataValidation type="decimal" sqref="F1" xr:uid="{00000000-0002-0000-0600-000000000000}">
      <formula1>0</formula1>
      <formula2>2</formula2>
    </dataValidation>
    <dataValidation type="list" sqref="G82 A1 G75 G80 C37 C31 C33 C35 L21 J35 J29 J31 J33 G61 L17:L19 G63 G56 E14 E10:E12 N38:N39 N7:N8 N50:N56 N58 G7" xr:uid="{00000000-0002-0000-0600-000001000000}">
      <formula1>"☐,☑"</formula1>
    </dataValidation>
    <dataValidation sqref="F8 F27 M25 M15" xr:uid="{A96F7FCA-E772-4530-8399-3967F3B6CB3D}"/>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E27"/>
  <sheetViews>
    <sheetView workbookViewId="0">
      <selection activeCell="H7" sqref="H7"/>
    </sheetView>
  </sheetViews>
  <sheetFormatPr defaultRowHeight="13.8"/>
  <cols>
    <col min="1" max="1" width="6" style="93" customWidth="1"/>
    <col min="2" max="2" width="39" style="93" customWidth="1"/>
    <col min="3" max="4" width="26" style="93" customWidth="1"/>
    <col min="5" max="5" width="18" style="93" customWidth="1"/>
    <col min="6" max="16384" width="8.796875" style="93"/>
  </cols>
  <sheetData>
    <row r="1" spans="1:5" ht="17.399999999999999" customHeight="1">
      <c r="A1" s="91" t="s">
        <v>134</v>
      </c>
      <c r="B1" s="92" t="s">
        <v>163</v>
      </c>
      <c r="C1" s="135">
        <f>IF(COUNTIF(E7:E10,"☑")=4,1,0)</f>
        <v>1</v>
      </c>
      <c r="D1" s="92" t="s">
        <v>164</v>
      </c>
      <c r="E1" s="92">
        <f>IF('Project Info'!$C$8="New Hotel",1,1)</f>
        <v>1</v>
      </c>
    </row>
    <row r="2" spans="1:5" ht="19.95" customHeight="1">
      <c r="A2" s="94"/>
      <c r="B2" s="610" t="s">
        <v>19</v>
      </c>
      <c r="C2" s="610"/>
      <c r="D2" s="95"/>
      <c r="E2" s="138" t="s">
        <v>18</v>
      </c>
    </row>
    <row r="3" spans="1:5" ht="15" customHeight="1">
      <c r="A3" s="94"/>
      <c r="B3" s="96" t="s">
        <v>5</v>
      </c>
      <c r="C3" s="97"/>
      <c r="D3" s="97"/>
      <c r="E3" s="97" t="str">
        <f>HYPERLINK("#'Checklist'!A1","Go To Checklist")</f>
        <v>Go To Checklist</v>
      </c>
    </row>
    <row r="4" spans="1:5" ht="52.2" customHeight="1">
      <c r="A4" s="94"/>
      <c r="B4" s="533" t="s">
        <v>710</v>
      </c>
      <c r="C4" s="534"/>
      <c r="D4" s="534"/>
      <c r="E4" s="535"/>
    </row>
    <row r="5" spans="1:5" ht="16.8" customHeight="1">
      <c r="A5" s="94"/>
      <c r="B5" s="115" t="s">
        <v>918</v>
      </c>
      <c r="C5" s="116"/>
      <c r="D5" s="116"/>
      <c r="E5" s="116"/>
    </row>
    <row r="6" spans="1:5" ht="15" customHeight="1">
      <c r="A6" s="94"/>
      <c r="B6" s="165" t="s">
        <v>195</v>
      </c>
      <c r="C6" s="165" t="s">
        <v>329</v>
      </c>
      <c r="D6" s="167" t="s">
        <v>1273</v>
      </c>
      <c r="E6" s="202" t="s">
        <v>137</v>
      </c>
    </row>
    <row r="7" spans="1:5" ht="15" customHeight="1">
      <c r="A7" s="94"/>
      <c r="B7" s="147" t="s">
        <v>197</v>
      </c>
      <c r="C7" s="147" t="s">
        <v>198</v>
      </c>
      <c r="D7" s="144"/>
      <c r="E7" s="205" t="s">
        <v>134</v>
      </c>
    </row>
    <row r="8" spans="1:5" ht="15" customHeight="1">
      <c r="A8" s="94"/>
      <c r="B8" s="147" t="s">
        <v>199</v>
      </c>
      <c r="C8" s="147" t="s">
        <v>200</v>
      </c>
      <c r="D8" s="144"/>
      <c r="E8" s="205" t="s">
        <v>134</v>
      </c>
    </row>
    <row r="9" spans="1:5" ht="15" customHeight="1">
      <c r="A9" s="94"/>
      <c r="B9" s="147" t="s">
        <v>201</v>
      </c>
      <c r="C9" s="147" t="s">
        <v>202</v>
      </c>
      <c r="D9" s="144"/>
      <c r="E9" s="205" t="s">
        <v>134</v>
      </c>
    </row>
    <row r="10" spans="1:5" ht="15" customHeight="1">
      <c r="A10" s="94"/>
      <c r="B10" s="147" t="s">
        <v>203</v>
      </c>
      <c r="C10" s="147" t="s">
        <v>204</v>
      </c>
      <c r="D10" s="144"/>
      <c r="E10" s="205" t="s">
        <v>134</v>
      </c>
    </row>
    <row r="11" spans="1:5" ht="15" customHeight="1">
      <c r="A11" s="94"/>
      <c r="B11" s="147" t="s">
        <v>205</v>
      </c>
      <c r="C11" s="147" t="s">
        <v>206</v>
      </c>
      <c r="D11" s="144"/>
      <c r="E11" s="205" t="s">
        <v>139</v>
      </c>
    </row>
    <row r="12" spans="1:5" ht="15" customHeight="1">
      <c r="A12" s="94"/>
      <c r="B12" s="147" t="s">
        <v>207</v>
      </c>
      <c r="C12" s="147" t="s">
        <v>206</v>
      </c>
      <c r="D12" s="144"/>
      <c r="E12" s="205" t="s">
        <v>139</v>
      </c>
    </row>
    <row r="13" spans="1:5" ht="15" customHeight="1">
      <c r="A13" s="94"/>
      <c r="B13" s="97"/>
      <c r="C13" s="97"/>
      <c r="D13" s="97"/>
      <c r="E13" s="97"/>
    </row>
    <row r="14" spans="1:5" ht="15" customHeight="1">
      <c r="A14" s="94"/>
      <c r="B14" s="618" t="s">
        <v>19</v>
      </c>
      <c r="C14" s="618"/>
      <c r="D14" s="131" t="s">
        <v>189</v>
      </c>
      <c r="E14" s="135">
        <f>C1</f>
        <v>1</v>
      </c>
    </row>
    <row r="15" spans="1:5" ht="15" customHeight="1">
      <c r="A15" s="94"/>
      <c r="B15" s="97"/>
      <c r="C15" s="97"/>
      <c r="D15" s="97"/>
      <c r="E15" s="97"/>
    </row>
    <row r="16" spans="1:5" ht="15" customHeight="1">
      <c r="A16" s="94"/>
      <c r="B16" s="582" t="s">
        <v>1661</v>
      </c>
      <c r="C16" s="582"/>
      <c r="D16" s="582"/>
      <c r="E16" s="582"/>
    </row>
    <row r="17" spans="1:5" ht="15" customHeight="1">
      <c r="A17" s="94"/>
      <c r="B17" s="538" t="s">
        <v>739</v>
      </c>
      <c r="C17" s="538"/>
      <c r="D17" s="538"/>
      <c r="E17" s="101" t="s">
        <v>139</v>
      </c>
    </row>
    <row r="18" spans="1:5" ht="15" customHeight="1">
      <c r="A18" s="94"/>
      <c r="B18" s="538" t="s">
        <v>740</v>
      </c>
      <c r="C18" s="538"/>
      <c r="D18" s="538"/>
      <c r="E18" s="101" t="s">
        <v>139</v>
      </c>
    </row>
    <row r="19" spans="1:5" ht="15" customHeight="1">
      <c r="A19" s="94"/>
      <c r="B19" s="538" t="s">
        <v>741</v>
      </c>
      <c r="C19" s="538"/>
      <c r="D19" s="538"/>
      <c r="E19" s="101" t="s">
        <v>139</v>
      </c>
    </row>
    <row r="20" spans="1:5" ht="15" customHeight="1">
      <c r="A20" s="94"/>
      <c r="B20" s="538" t="s">
        <v>742</v>
      </c>
      <c r="C20" s="538"/>
      <c r="D20" s="538"/>
      <c r="E20" s="101" t="s">
        <v>139</v>
      </c>
    </row>
    <row r="21" spans="1:5" ht="15" customHeight="1">
      <c r="A21" s="94"/>
      <c r="B21" s="538" t="s">
        <v>743</v>
      </c>
      <c r="C21" s="538"/>
      <c r="D21" s="538"/>
      <c r="E21" s="101" t="s">
        <v>139</v>
      </c>
    </row>
    <row r="22" spans="1:5">
      <c r="B22" s="97"/>
      <c r="C22" s="97"/>
      <c r="D22" s="97"/>
      <c r="E22" s="97"/>
    </row>
    <row r="23" spans="1:5">
      <c r="B23" s="531" t="s">
        <v>147</v>
      </c>
      <c r="C23" s="531"/>
      <c r="D23" s="531"/>
      <c r="E23" s="531"/>
    </row>
    <row r="24" spans="1:5">
      <c r="B24" s="97"/>
      <c r="C24" s="97"/>
      <c r="D24" s="97"/>
      <c r="E24" s="97"/>
    </row>
    <row r="25" spans="1:5">
      <c r="B25" s="97"/>
      <c r="C25" s="97"/>
      <c r="D25" s="97"/>
      <c r="E25" s="97"/>
    </row>
    <row r="26" spans="1:5">
      <c r="B26" s="97"/>
      <c r="C26" s="97"/>
      <c r="D26" s="97"/>
      <c r="E26" s="97"/>
    </row>
    <row r="27" spans="1:5">
      <c r="B27" s="97"/>
      <c r="C27" s="97"/>
      <c r="D27" s="97"/>
      <c r="E27" s="97"/>
    </row>
  </sheetData>
  <mergeCells count="10">
    <mergeCell ref="B23:E23"/>
    <mergeCell ref="B2:C2"/>
    <mergeCell ref="B14:C14"/>
    <mergeCell ref="B16:E16"/>
    <mergeCell ref="B17:D17"/>
    <mergeCell ref="B18:D18"/>
    <mergeCell ref="B19:D19"/>
    <mergeCell ref="B20:D20"/>
    <mergeCell ref="B21:D21"/>
    <mergeCell ref="B4:E4"/>
  </mergeCells>
  <dataValidations count="2">
    <dataValidation type="decimal" sqref="C1" xr:uid="{00000000-0002-0000-0700-000000000000}">
      <formula1>0</formula1>
      <formula2>1</formula2>
    </dataValidation>
    <dataValidation type="list" sqref="A1 E7:E12 E17:E21" xr:uid="{00000000-0002-0000-0700-000001000000}">
      <formula1>"☐,☑"</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G52"/>
  <sheetViews>
    <sheetView topLeftCell="A4" zoomScale="80" zoomScaleNormal="80" workbookViewId="0">
      <selection activeCell="K49" sqref="K49"/>
    </sheetView>
  </sheetViews>
  <sheetFormatPr defaultRowHeight="13.8"/>
  <cols>
    <col min="1" max="1" width="5.59765625" style="93" customWidth="1"/>
    <col min="2" max="2" width="17.8984375" style="93" customWidth="1"/>
    <col min="3" max="3" width="24.8984375" style="93" customWidth="1"/>
    <col min="4" max="4" width="8.19921875" style="93" customWidth="1"/>
    <col min="5" max="5" width="23.296875" style="93" customWidth="1"/>
    <col min="6" max="6" width="28.19921875" style="93" customWidth="1"/>
    <col min="7" max="7" width="16.8984375" style="93" customWidth="1"/>
    <col min="8" max="16384" width="8.796875" style="93"/>
  </cols>
  <sheetData>
    <row r="1" spans="1:7" ht="19.95" customHeight="1">
      <c r="A1" s="91" t="s">
        <v>134</v>
      </c>
      <c r="B1" s="92" t="s">
        <v>163</v>
      </c>
      <c r="C1" s="92"/>
      <c r="D1" s="92"/>
      <c r="E1" s="135">
        <f>IF(COUNTIF(G8:G40,"☑")&gt;0,1,0)</f>
        <v>0</v>
      </c>
      <c r="F1" s="92" t="s">
        <v>164</v>
      </c>
      <c r="G1" s="92">
        <f>IF('Project Info'!$C$8="New Hotel",2,1)</f>
        <v>1</v>
      </c>
    </row>
    <row r="2" spans="1:7" ht="25.05" customHeight="1">
      <c r="A2" s="94"/>
      <c r="B2" s="610" t="s">
        <v>21</v>
      </c>
      <c r="C2" s="610"/>
      <c r="D2" s="610"/>
      <c r="E2" s="610"/>
      <c r="F2" s="95"/>
      <c r="G2" s="203" t="s">
        <v>20</v>
      </c>
    </row>
    <row r="3" spans="1:7" ht="15" customHeight="1">
      <c r="A3" s="94"/>
      <c r="B3" s="96" t="s">
        <v>5</v>
      </c>
      <c r="C3" s="96"/>
      <c r="D3" s="96"/>
      <c r="E3" s="97"/>
      <c r="F3" s="97"/>
      <c r="G3" s="97" t="str">
        <f>HYPERLINK("#'Checklist'!A1","Go To Checklist")</f>
        <v>Go To Checklist</v>
      </c>
    </row>
    <row r="4" spans="1:7" ht="61.2" customHeight="1">
      <c r="A4" s="94"/>
      <c r="B4" s="607" t="s">
        <v>710</v>
      </c>
      <c r="C4" s="607"/>
      <c r="D4" s="607"/>
      <c r="E4" s="607"/>
      <c r="F4" s="607"/>
      <c r="G4" s="607"/>
    </row>
    <row r="5" spans="1:7" ht="15" customHeight="1">
      <c r="A5" s="94"/>
      <c r="B5" s="631" t="s">
        <v>919</v>
      </c>
      <c r="C5" s="631"/>
      <c r="D5" s="631"/>
      <c r="E5" s="631"/>
      <c r="F5" s="631"/>
      <c r="G5" s="631"/>
    </row>
    <row r="6" spans="1:7" ht="15" customHeight="1">
      <c r="A6" s="94"/>
      <c r="B6" s="626" t="s">
        <v>444</v>
      </c>
      <c r="C6" s="626"/>
      <c r="D6" s="630" t="s">
        <v>137</v>
      </c>
      <c r="E6" s="627" t="s">
        <v>445</v>
      </c>
      <c r="F6" s="627"/>
      <c r="G6" s="629" t="s">
        <v>137</v>
      </c>
    </row>
    <row r="7" spans="1:7" ht="15" customHeight="1">
      <c r="A7" s="94"/>
      <c r="B7" s="204" t="s">
        <v>447</v>
      </c>
      <c r="C7" s="204" t="s">
        <v>448</v>
      </c>
      <c r="D7" s="633"/>
      <c r="E7" s="628"/>
      <c r="F7" s="628"/>
      <c r="G7" s="630"/>
    </row>
    <row r="8" spans="1:7" ht="15" customHeight="1">
      <c r="A8" s="94"/>
      <c r="B8" s="634" t="s">
        <v>446</v>
      </c>
      <c r="C8" s="621" t="s">
        <v>449</v>
      </c>
      <c r="D8" s="622" t="s">
        <v>134</v>
      </c>
      <c r="E8" s="623" t="s">
        <v>457</v>
      </c>
      <c r="F8" s="623"/>
      <c r="G8" s="205" t="s">
        <v>139</v>
      </c>
    </row>
    <row r="9" spans="1:7" ht="15" customHeight="1">
      <c r="A9" s="94"/>
      <c r="B9" s="634"/>
      <c r="C9" s="621"/>
      <c r="D9" s="622"/>
      <c r="E9" s="623" t="s">
        <v>458</v>
      </c>
      <c r="F9" s="623"/>
      <c r="G9" s="205" t="s">
        <v>139</v>
      </c>
    </row>
    <row r="10" spans="1:7" ht="15" customHeight="1">
      <c r="A10" s="94"/>
      <c r="B10" s="634"/>
      <c r="C10" s="621"/>
      <c r="D10" s="622"/>
      <c r="E10" s="623" t="s">
        <v>459</v>
      </c>
      <c r="F10" s="623"/>
      <c r="G10" s="205" t="s">
        <v>139</v>
      </c>
    </row>
    <row r="11" spans="1:7" ht="15" customHeight="1">
      <c r="A11" s="94"/>
      <c r="B11" s="634"/>
      <c r="C11" s="621"/>
      <c r="D11" s="622"/>
      <c r="E11" s="623" t="s">
        <v>460</v>
      </c>
      <c r="F11" s="623"/>
      <c r="G11" s="205" t="s">
        <v>139</v>
      </c>
    </row>
    <row r="12" spans="1:7" ht="15" customHeight="1">
      <c r="A12" s="94"/>
      <c r="B12" s="634"/>
      <c r="C12" s="621"/>
      <c r="D12" s="622"/>
      <c r="E12" s="623" t="s">
        <v>461</v>
      </c>
      <c r="F12" s="623"/>
      <c r="G12" s="205" t="s">
        <v>139</v>
      </c>
    </row>
    <row r="13" spans="1:7" ht="15" customHeight="1">
      <c r="A13" s="94"/>
      <c r="B13" s="634"/>
      <c r="C13" s="625" t="s">
        <v>1406</v>
      </c>
      <c r="D13" s="625"/>
      <c r="E13" s="623"/>
      <c r="F13" s="623"/>
      <c r="G13" s="205" t="s">
        <v>139</v>
      </c>
    </row>
    <row r="14" spans="1:7" ht="15" customHeight="1">
      <c r="A14" s="94"/>
      <c r="B14" s="634"/>
      <c r="C14" s="621" t="s">
        <v>450</v>
      </c>
      <c r="D14" s="622" t="s">
        <v>134</v>
      </c>
      <c r="E14" s="623" t="s">
        <v>462</v>
      </c>
      <c r="F14" s="623"/>
      <c r="G14" s="205" t="s">
        <v>139</v>
      </c>
    </row>
    <row r="15" spans="1:7" ht="15" customHeight="1">
      <c r="A15" s="94"/>
      <c r="B15" s="634"/>
      <c r="C15" s="621"/>
      <c r="D15" s="622"/>
      <c r="E15" s="623" t="s">
        <v>463</v>
      </c>
      <c r="F15" s="623"/>
      <c r="G15" s="205" t="s">
        <v>139</v>
      </c>
    </row>
    <row r="16" spans="1:7" ht="16.2" customHeight="1">
      <c r="A16" s="94"/>
      <c r="B16" s="634"/>
      <c r="C16" s="621"/>
      <c r="D16" s="622"/>
      <c r="E16" s="623" t="s">
        <v>464</v>
      </c>
      <c r="F16" s="623"/>
      <c r="G16" s="205" t="s">
        <v>139</v>
      </c>
    </row>
    <row r="17" spans="1:7" ht="15" customHeight="1">
      <c r="A17" s="94"/>
      <c r="B17" s="634"/>
      <c r="C17" s="621"/>
      <c r="D17" s="622"/>
      <c r="E17" s="623" t="s">
        <v>465</v>
      </c>
      <c r="F17" s="623"/>
      <c r="G17" s="205" t="s">
        <v>139</v>
      </c>
    </row>
    <row r="18" spans="1:7" ht="15" customHeight="1">
      <c r="A18" s="94"/>
      <c r="B18" s="634"/>
      <c r="C18" s="621"/>
      <c r="D18" s="622"/>
      <c r="E18" s="623" t="s">
        <v>466</v>
      </c>
      <c r="F18" s="623"/>
      <c r="G18" s="205" t="s">
        <v>139</v>
      </c>
    </row>
    <row r="19" spans="1:7" ht="15" customHeight="1">
      <c r="A19" s="94"/>
      <c r="B19" s="634"/>
      <c r="C19" s="621"/>
      <c r="D19" s="622"/>
      <c r="E19" s="623" t="s">
        <v>467</v>
      </c>
      <c r="F19" s="623"/>
      <c r="G19" s="205" t="s">
        <v>139</v>
      </c>
    </row>
    <row r="20" spans="1:7" ht="15" customHeight="1">
      <c r="A20" s="94"/>
      <c r="B20" s="634"/>
      <c r="C20" s="625" t="s">
        <v>1406</v>
      </c>
      <c r="D20" s="625"/>
      <c r="E20" s="623"/>
      <c r="F20" s="623"/>
      <c r="G20" s="205" t="s">
        <v>139</v>
      </c>
    </row>
    <row r="21" spans="1:7" ht="15" customHeight="1">
      <c r="A21" s="94"/>
      <c r="B21" s="634" t="s">
        <v>451</v>
      </c>
      <c r="C21" s="621" t="s">
        <v>452</v>
      </c>
      <c r="D21" s="622" t="s">
        <v>134</v>
      </c>
      <c r="E21" s="623" t="s">
        <v>468</v>
      </c>
      <c r="F21" s="623"/>
      <c r="G21" s="205" t="s">
        <v>139</v>
      </c>
    </row>
    <row r="22" spans="1:7" ht="15" customHeight="1">
      <c r="A22" s="94"/>
      <c r="B22" s="634"/>
      <c r="C22" s="621"/>
      <c r="D22" s="622"/>
      <c r="E22" s="623" t="s">
        <v>469</v>
      </c>
      <c r="F22" s="623"/>
      <c r="G22" s="205" t="s">
        <v>139</v>
      </c>
    </row>
    <row r="23" spans="1:7" ht="15" customHeight="1">
      <c r="A23" s="94"/>
      <c r="B23" s="634"/>
      <c r="C23" s="621"/>
      <c r="D23" s="622"/>
      <c r="E23" s="623" t="s">
        <v>470</v>
      </c>
      <c r="F23" s="623"/>
      <c r="G23" s="205" t="s">
        <v>139</v>
      </c>
    </row>
    <row r="24" spans="1:7" ht="18.600000000000001" customHeight="1">
      <c r="A24" s="94"/>
      <c r="B24" s="634"/>
      <c r="C24" s="621"/>
      <c r="D24" s="622"/>
      <c r="E24" s="623" t="s">
        <v>471</v>
      </c>
      <c r="F24" s="623"/>
      <c r="G24" s="205" t="s">
        <v>139</v>
      </c>
    </row>
    <row r="25" spans="1:7" ht="15" customHeight="1">
      <c r="A25" s="94"/>
      <c r="B25" s="634"/>
      <c r="C25" s="621"/>
      <c r="D25" s="622"/>
      <c r="E25" s="623" t="s">
        <v>472</v>
      </c>
      <c r="F25" s="623"/>
      <c r="G25" s="205" t="s">
        <v>139</v>
      </c>
    </row>
    <row r="26" spans="1:7" ht="15" customHeight="1">
      <c r="A26" s="94"/>
      <c r="B26" s="634"/>
      <c r="C26" s="621"/>
      <c r="D26" s="622"/>
      <c r="E26" s="623" t="s">
        <v>473</v>
      </c>
      <c r="F26" s="623"/>
      <c r="G26" s="205" t="s">
        <v>139</v>
      </c>
    </row>
    <row r="27" spans="1:7" ht="15" customHeight="1">
      <c r="A27" s="94"/>
      <c r="B27" s="634"/>
      <c r="C27" s="625" t="s">
        <v>1406</v>
      </c>
      <c r="D27" s="625"/>
      <c r="E27" s="624"/>
      <c r="F27" s="624"/>
      <c r="G27" s="205" t="s">
        <v>139</v>
      </c>
    </row>
    <row r="28" spans="1:7" ht="15" customHeight="1">
      <c r="A28" s="94"/>
      <c r="B28" s="634" t="s">
        <v>453</v>
      </c>
      <c r="C28" s="621" t="s">
        <v>456</v>
      </c>
      <c r="D28" s="622" t="s">
        <v>134</v>
      </c>
      <c r="E28" s="623" t="s">
        <v>474</v>
      </c>
      <c r="F28" s="623"/>
      <c r="G28" s="205" t="s">
        <v>139</v>
      </c>
    </row>
    <row r="29" spans="1:7" ht="15" customHeight="1">
      <c r="A29" s="94"/>
      <c r="B29" s="634"/>
      <c r="C29" s="621"/>
      <c r="D29" s="622"/>
      <c r="E29" s="623" t="s">
        <v>475</v>
      </c>
      <c r="F29" s="623"/>
      <c r="G29" s="205" t="s">
        <v>139</v>
      </c>
    </row>
    <row r="30" spans="1:7" ht="15" customHeight="1">
      <c r="A30" s="94"/>
      <c r="B30" s="634"/>
      <c r="C30" s="621"/>
      <c r="D30" s="622"/>
      <c r="E30" s="623" t="s">
        <v>476</v>
      </c>
      <c r="F30" s="623"/>
      <c r="G30" s="205" t="s">
        <v>139</v>
      </c>
    </row>
    <row r="31" spans="1:7" ht="15" customHeight="1">
      <c r="A31" s="94"/>
      <c r="B31" s="634"/>
      <c r="C31" s="621"/>
      <c r="D31" s="622"/>
      <c r="E31" s="623" t="s">
        <v>477</v>
      </c>
      <c r="F31" s="623"/>
      <c r="G31" s="205" t="s">
        <v>139</v>
      </c>
    </row>
    <row r="32" spans="1:7" ht="15" customHeight="1">
      <c r="A32" s="94"/>
      <c r="B32" s="634"/>
      <c r="C32" s="621"/>
      <c r="D32" s="622"/>
      <c r="E32" s="623" t="s">
        <v>478</v>
      </c>
      <c r="F32" s="623"/>
      <c r="G32" s="205" t="s">
        <v>139</v>
      </c>
    </row>
    <row r="33" spans="1:7" ht="15" customHeight="1">
      <c r="A33" s="94"/>
      <c r="B33" s="634"/>
      <c r="C33" s="621"/>
      <c r="D33" s="622"/>
      <c r="E33" s="623" t="s">
        <v>479</v>
      </c>
      <c r="F33" s="623"/>
      <c r="G33" s="205" t="s">
        <v>139</v>
      </c>
    </row>
    <row r="34" spans="1:7" ht="17.399999999999999" customHeight="1">
      <c r="B34" s="634"/>
      <c r="C34" s="625" t="s">
        <v>1406</v>
      </c>
      <c r="D34" s="625"/>
      <c r="E34" s="623"/>
      <c r="F34" s="623"/>
      <c r="G34" s="205" t="s">
        <v>139</v>
      </c>
    </row>
    <row r="35" spans="1:7" ht="20.399999999999999" customHeight="1">
      <c r="B35" s="634" t="s">
        <v>454</v>
      </c>
      <c r="C35" s="621" t="s">
        <v>455</v>
      </c>
      <c r="D35" s="622" t="s">
        <v>134</v>
      </c>
      <c r="E35" s="623" t="s">
        <v>480</v>
      </c>
      <c r="F35" s="623"/>
      <c r="G35" s="205" t="s">
        <v>139</v>
      </c>
    </row>
    <row r="36" spans="1:7" ht="13.8" customHeight="1">
      <c r="B36" s="634"/>
      <c r="C36" s="621"/>
      <c r="D36" s="622"/>
      <c r="E36" s="623" t="s">
        <v>481</v>
      </c>
      <c r="F36" s="623"/>
      <c r="G36" s="205" t="s">
        <v>139</v>
      </c>
    </row>
    <row r="37" spans="1:7" ht="17.399999999999999" customHeight="1">
      <c r="B37" s="634"/>
      <c r="C37" s="621"/>
      <c r="D37" s="622"/>
      <c r="E37" s="623" t="s">
        <v>482</v>
      </c>
      <c r="F37" s="623"/>
      <c r="G37" s="205" t="s">
        <v>139</v>
      </c>
    </row>
    <row r="38" spans="1:7" ht="17.399999999999999" customHeight="1">
      <c r="B38" s="634"/>
      <c r="C38" s="621"/>
      <c r="D38" s="622"/>
      <c r="E38" s="623" t="s">
        <v>483</v>
      </c>
      <c r="F38" s="623"/>
      <c r="G38" s="205" t="s">
        <v>139</v>
      </c>
    </row>
    <row r="39" spans="1:7" ht="17.399999999999999" customHeight="1">
      <c r="B39" s="634"/>
      <c r="C39" s="621"/>
      <c r="D39" s="622"/>
      <c r="E39" s="623" t="s">
        <v>484</v>
      </c>
      <c r="F39" s="623"/>
      <c r="G39" s="205" t="s">
        <v>139</v>
      </c>
    </row>
    <row r="40" spans="1:7" ht="17.399999999999999" customHeight="1">
      <c r="B40" s="634"/>
      <c r="C40" s="625" t="s">
        <v>1406</v>
      </c>
      <c r="D40" s="625"/>
      <c r="E40" s="623"/>
      <c r="F40" s="623"/>
      <c r="G40" s="205" t="s">
        <v>139</v>
      </c>
    </row>
    <row r="41" spans="1:7" ht="13.8" customHeight="1">
      <c r="B41" s="207"/>
      <c r="C41" s="132"/>
      <c r="D41" s="132"/>
      <c r="E41" s="632"/>
      <c r="F41" s="632"/>
      <c r="G41" s="101"/>
    </row>
    <row r="42" spans="1:7" ht="21" customHeight="1">
      <c r="B42" s="618" t="s">
        <v>21</v>
      </c>
      <c r="C42" s="618"/>
      <c r="D42" s="618"/>
      <c r="E42" s="618"/>
      <c r="F42" s="179" t="s">
        <v>189</v>
      </c>
      <c r="G42" s="135">
        <f>E1</f>
        <v>0</v>
      </c>
    </row>
    <row r="43" spans="1:7" ht="21">
      <c r="B43" s="176"/>
      <c r="C43" s="176"/>
      <c r="D43" s="176"/>
      <c r="E43" s="176"/>
      <c r="F43" s="208"/>
      <c r="G43" s="177"/>
    </row>
    <row r="44" spans="1:7" ht="17.399999999999999" customHeight="1">
      <c r="B44" s="582" t="s">
        <v>1661</v>
      </c>
      <c r="C44" s="582"/>
      <c r="D44" s="582"/>
      <c r="E44" s="582"/>
      <c r="F44" s="582"/>
      <c r="G44" s="582"/>
    </row>
    <row r="45" spans="1:7" ht="27.6" customHeight="1">
      <c r="A45" s="209"/>
      <c r="B45" s="538" t="s">
        <v>499</v>
      </c>
      <c r="C45" s="538"/>
      <c r="D45" s="538"/>
      <c r="E45" s="538"/>
      <c r="F45" s="538"/>
      <c r="G45" s="101" t="s">
        <v>139</v>
      </c>
    </row>
    <row r="46" spans="1:7" ht="17.399999999999999" customHeight="1">
      <c r="A46" s="114"/>
      <c r="B46" s="538" t="s">
        <v>885</v>
      </c>
      <c r="C46" s="538"/>
      <c r="D46" s="538"/>
      <c r="E46" s="538"/>
      <c r="F46" s="538"/>
      <c r="G46" s="101" t="s">
        <v>139</v>
      </c>
    </row>
    <row r="47" spans="1:7" ht="17.399999999999999" customHeight="1">
      <c r="A47" s="114"/>
      <c r="B47" s="538" t="s">
        <v>500</v>
      </c>
      <c r="C47" s="538"/>
      <c r="D47" s="538"/>
      <c r="E47" s="538"/>
      <c r="F47" s="538"/>
      <c r="G47" s="101" t="s">
        <v>139</v>
      </c>
    </row>
    <row r="48" spans="1:7" ht="13.8" customHeight="1">
      <c r="A48" s="114"/>
      <c r="B48" s="531" t="s">
        <v>147</v>
      </c>
      <c r="C48" s="531"/>
      <c r="D48" s="531"/>
      <c r="E48" s="531"/>
      <c r="F48" s="531"/>
      <c r="G48" s="531"/>
    </row>
    <row r="49" spans="1:7" ht="13.8" customHeight="1">
      <c r="A49" s="114"/>
      <c r="B49" s="97"/>
      <c r="C49" s="105"/>
      <c r="D49" s="105"/>
      <c r="E49" s="105"/>
      <c r="F49" s="105"/>
      <c r="G49" s="97"/>
    </row>
    <row r="50" spans="1:7" ht="16.2" customHeight="1">
      <c r="A50" s="114"/>
      <c r="B50" s="97"/>
      <c r="C50" s="97"/>
      <c r="D50" s="97"/>
      <c r="E50" s="97"/>
      <c r="F50" s="97"/>
      <c r="G50" s="97"/>
    </row>
    <row r="51" spans="1:7" ht="14.4">
      <c r="A51" s="114"/>
      <c r="B51" s="97"/>
      <c r="C51" s="97"/>
      <c r="D51" s="97"/>
      <c r="E51" s="97"/>
      <c r="F51" s="97"/>
      <c r="G51" s="97"/>
    </row>
    <row r="52" spans="1:7">
      <c r="C52" s="97"/>
      <c r="D52" s="97"/>
      <c r="E52" s="97"/>
      <c r="F52" s="97"/>
    </row>
  </sheetData>
  <sheetProtection sheet="1" objects="1" scenarios="1"/>
  <mergeCells count="66">
    <mergeCell ref="B46:F46"/>
    <mergeCell ref="B45:F45"/>
    <mergeCell ref="E26:F26"/>
    <mergeCell ref="B42:E42"/>
    <mergeCell ref="B44:G44"/>
    <mergeCell ref="E37:F37"/>
    <mergeCell ref="E38:F38"/>
    <mergeCell ref="C35:C39"/>
    <mergeCell ref="D35:D39"/>
    <mergeCell ref="B35:B40"/>
    <mergeCell ref="B28:B34"/>
    <mergeCell ref="B21:B27"/>
    <mergeCell ref="C21:C26"/>
    <mergeCell ref="D21:D26"/>
    <mergeCell ref="C27:D27"/>
    <mergeCell ref="C40:D40"/>
    <mergeCell ref="B2:E2"/>
    <mergeCell ref="D8:D12"/>
    <mergeCell ref="C8:C12"/>
    <mergeCell ref="E39:F39"/>
    <mergeCell ref="E40:F40"/>
    <mergeCell ref="D6:D7"/>
    <mergeCell ref="E35:F35"/>
    <mergeCell ref="E29:F29"/>
    <mergeCell ref="E30:F30"/>
    <mergeCell ref="E16:F16"/>
    <mergeCell ref="E20:F20"/>
    <mergeCell ref="E21:F21"/>
    <mergeCell ref="E31:F31"/>
    <mergeCell ref="C34:D34"/>
    <mergeCell ref="B8:B20"/>
    <mergeCell ref="C20:D20"/>
    <mergeCell ref="B48:G48"/>
    <mergeCell ref="B47:F47"/>
    <mergeCell ref="B4:G4"/>
    <mergeCell ref="B6:C6"/>
    <mergeCell ref="E6:F7"/>
    <mergeCell ref="E8:F8"/>
    <mergeCell ref="E9:F9"/>
    <mergeCell ref="E10:F10"/>
    <mergeCell ref="E11:F11"/>
    <mergeCell ref="E13:F13"/>
    <mergeCell ref="E14:F14"/>
    <mergeCell ref="E15:F15"/>
    <mergeCell ref="E17:F17"/>
    <mergeCell ref="G6:G7"/>
    <mergeCell ref="B5:G5"/>
    <mergeCell ref="E41:F41"/>
    <mergeCell ref="E36:F36"/>
    <mergeCell ref="E18:F18"/>
    <mergeCell ref="E19:F19"/>
    <mergeCell ref="E32:F32"/>
    <mergeCell ref="E34:F34"/>
    <mergeCell ref="E28:F28"/>
    <mergeCell ref="E22:F22"/>
    <mergeCell ref="E23:F23"/>
    <mergeCell ref="E24:F24"/>
    <mergeCell ref="E33:F33"/>
    <mergeCell ref="C28:C33"/>
    <mergeCell ref="D28:D33"/>
    <mergeCell ref="E12:F12"/>
    <mergeCell ref="E27:F27"/>
    <mergeCell ref="E25:F25"/>
    <mergeCell ref="C13:D13"/>
    <mergeCell ref="C14:C19"/>
    <mergeCell ref="D14:D19"/>
  </mergeCells>
  <conditionalFormatting sqref="E8:F11 E13:F13">
    <cfRule type="expression" dxfId="124" priority="11">
      <formula>$D$8&lt;&gt;"☑"</formula>
    </cfRule>
    <cfRule type="expression" priority="12">
      <formula>$D$8&lt;&gt;"☑"</formula>
    </cfRule>
  </conditionalFormatting>
  <conditionalFormatting sqref="E14:F16 E19:F20 E17:E18">
    <cfRule type="expression" dxfId="123" priority="9">
      <formula>$D$14&lt;&gt;"☑"</formula>
    </cfRule>
    <cfRule type="expression" priority="10">
      <formula>$D$14&lt;&gt;"☑"</formula>
    </cfRule>
  </conditionalFormatting>
  <conditionalFormatting sqref="E21:F24 E26:F26 E25">
    <cfRule type="expression" dxfId="122" priority="7">
      <formula>$D$21&lt;&gt;"☑"</formula>
    </cfRule>
    <cfRule type="expression" priority="8">
      <formula>$D$21&lt;&gt;"☑"</formula>
    </cfRule>
  </conditionalFormatting>
  <conditionalFormatting sqref="E28:F32 E34:F34 E33">
    <cfRule type="expression" dxfId="121" priority="6">
      <formula>$D$28&lt;&gt;"☑"</formula>
    </cfRule>
  </conditionalFormatting>
  <conditionalFormatting sqref="E35:F35 E40:F40 E36:E39">
    <cfRule type="expression" dxfId="120" priority="5">
      <formula>$D$35&lt;&gt;"☑"</formula>
    </cfRule>
  </conditionalFormatting>
  <conditionalFormatting sqref="E12:F12">
    <cfRule type="expression" dxfId="119" priority="1">
      <formula>$D$8&lt;&gt;"☑"</formula>
    </cfRule>
    <cfRule type="expression" priority="2">
      <formula>$D$8&lt;&gt;"☑"</formula>
    </cfRule>
  </conditionalFormatting>
  <dataValidations count="2">
    <dataValidation type="decimal" sqref="E1" xr:uid="{00000000-0002-0000-0800-000000000000}">
      <formula1>0</formula1>
      <formula2>2</formula2>
    </dataValidation>
    <dataValidation type="list" sqref="A1 D35 G45:G47 D8 D14 D21 D28 G8:G41" xr:uid="{00000000-0002-0000-0800-000001000000}">
      <formula1>"☐,☑"</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F67"/>
  <sheetViews>
    <sheetView topLeftCell="A49" zoomScaleNormal="100" workbookViewId="0">
      <selection activeCell="H9" sqref="H9"/>
    </sheetView>
  </sheetViews>
  <sheetFormatPr defaultRowHeight="13.8"/>
  <cols>
    <col min="1" max="1" width="6" style="93" customWidth="1"/>
    <col min="2" max="2" width="29.69921875" style="93" customWidth="1"/>
    <col min="3" max="3" width="7.09765625" style="93" customWidth="1"/>
    <col min="4" max="5" width="26" style="93" customWidth="1"/>
    <col min="6" max="6" width="18" style="93" customWidth="1"/>
    <col min="7" max="16384" width="8.796875" style="93"/>
  </cols>
  <sheetData>
    <row r="1" spans="1:6" ht="18.149999999999999" customHeight="1">
      <c r="A1" s="91" t="s">
        <v>134</v>
      </c>
      <c r="B1" s="92" t="s">
        <v>135</v>
      </c>
      <c r="C1" s="92"/>
      <c r="D1" s="92"/>
      <c r="E1" s="92"/>
      <c r="F1" s="92"/>
    </row>
    <row r="2" spans="1:6" ht="24.45" customHeight="1">
      <c r="A2" s="94"/>
      <c r="B2" s="95" t="s">
        <v>25</v>
      </c>
      <c r="C2" s="95"/>
      <c r="D2" s="95"/>
      <c r="E2" s="95"/>
      <c r="F2" s="95" t="s">
        <v>24</v>
      </c>
    </row>
    <row r="3" spans="1:6" ht="15.6" customHeight="1">
      <c r="A3" s="94"/>
      <c r="B3" s="635" t="s">
        <v>136</v>
      </c>
      <c r="C3" s="635"/>
      <c r="D3" s="635"/>
      <c r="E3" s="636" t="str">
        <f>IF(E51&gt;E48,"COMPLIANT","PENDING")</f>
        <v>COMPLIANT</v>
      </c>
      <c r="F3" s="636" t="str">
        <f>HYPERLINK("#'Checklist'!A1","Go To Checklist")</f>
        <v>Go To Checklist</v>
      </c>
    </row>
    <row r="4" spans="1:6" ht="15.6">
      <c r="A4" s="94"/>
      <c r="B4" s="96" t="s">
        <v>5</v>
      </c>
      <c r="C4" s="96"/>
      <c r="D4" s="97"/>
      <c r="E4" s="97"/>
      <c r="F4" s="97" t="str">
        <f>HYPERLINK("#'Checklist'!A1","Go To Checklist")</f>
        <v>Go To Checklist</v>
      </c>
    </row>
    <row r="5" spans="1:6" ht="57" customHeight="1">
      <c r="A5" s="94"/>
      <c r="B5" s="533" t="s">
        <v>710</v>
      </c>
      <c r="C5" s="534"/>
      <c r="D5" s="534"/>
      <c r="E5" s="534"/>
      <c r="F5" s="535"/>
    </row>
    <row r="6" spans="1:6" ht="14.4">
      <c r="A6" s="94"/>
      <c r="B6" s="637" t="s">
        <v>208</v>
      </c>
      <c r="C6" s="637"/>
      <c r="D6" s="637"/>
      <c r="E6" s="637"/>
      <c r="F6" s="637"/>
    </row>
    <row r="7" spans="1:6" ht="16.2" customHeight="1">
      <c r="A7" s="94"/>
      <c r="B7" s="562" t="s">
        <v>931</v>
      </c>
      <c r="C7" s="562"/>
      <c r="D7" s="562"/>
      <c r="E7" s="562"/>
      <c r="F7" s="98" t="s">
        <v>137</v>
      </c>
    </row>
    <row r="8" spans="1:6" ht="42.6" customHeight="1">
      <c r="A8" s="94"/>
      <c r="B8" s="638" t="s">
        <v>502</v>
      </c>
      <c r="C8" s="638"/>
      <c r="D8" s="638"/>
      <c r="E8" s="638"/>
      <c r="F8" s="210" t="s">
        <v>134</v>
      </c>
    </row>
    <row r="9" spans="1:6" ht="30" customHeight="1">
      <c r="A9" s="94"/>
      <c r="B9" s="639" t="s">
        <v>209</v>
      </c>
      <c r="C9" s="639"/>
      <c r="D9" s="156" t="s">
        <v>210</v>
      </c>
      <c r="E9" s="156" t="s">
        <v>211</v>
      </c>
      <c r="F9" s="157" t="s">
        <v>212</v>
      </c>
    </row>
    <row r="10" spans="1:6" ht="18.75" customHeight="1">
      <c r="A10" s="94"/>
      <c r="B10" s="608" t="s">
        <v>720</v>
      </c>
      <c r="C10" s="608"/>
      <c r="D10" s="189">
        <v>0.95</v>
      </c>
      <c r="E10" s="149">
        <v>1000</v>
      </c>
      <c r="F10" s="189">
        <f t="shared" ref="F10:F28" si="0">D10*E10</f>
        <v>950</v>
      </c>
    </row>
    <row r="11" spans="1:6" ht="18.75" customHeight="1">
      <c r="A11" s="94"/>
      <c r="B11" s="608" t="s">
        <v>721</v>
      </c>
      <c r="C11" s="608"/>
      <c r="D11" s="188">
        <v>0.5</v>
      </c>
      <c r="E11" s="143"/>
      <c r="F11" s="189">
        <f t="shared" si="0"/>
        <v>0</v>
      </c>
    </row>
    <row r="12" spans="1:6" ht="18.75" customHeight="1">
      <c r="A12" s="94"/>
      <c r="B12" s="608" t="s">
        <v>722</v>
      </c>
      <c r="C12" s="608"/>
      <c r="D12" s="188">
        <v>0.3</v>
      </c>
      <c r="E12" s="143"/>
      <c r="F12" s="189">
        <f t="shared" si="0"/>
        <v>0</v>
      </c>
    </row>
    <row r="13" spans="1:6" ht="18.75" customHeight="1">
      <c r="A13" s="94"/>
      <c r="B13" s="608" t="s">
        <v>723</v>
      </c>
      <c r="C13" s="608"/>
      <c r="D13" s="188">
        <v>0.2</v>
      </c>
      <c r="E13" s="143"/>
      <c r="F13" s="189">
        <f t="shared" si="0"/>
        <v>0</v>
      </c>
    </row>
    <row r="14" spans="1:6" ht="18.75" customHeight="1">
      <c r="A14" s="94"/>
      <c r="B14" s="608" t="s">
        <v>724</v>
      </c>
      <c r="C14" s="608"/>
      <c r="D14" s="188">
        <v>0.1</v>
      </c>
      <c r="E14" s="143"/>
      <c r="F14" s="189">
        <f t="shared" si="0"/>
        <v>0</v>
      </c>
    </row>
    <row r="15" spans="1:6" ht="18.75" customHeight="1">
      <c r="A15" s="94"/>
      <c r="B15" s="608" t="s">
        <v>725</v>
      </c>
      <c r="C15" s="608"/>
      <c r="D15" s="188">
        <v>0.25</v>
      </c>
      <c r="E15" s="143"/>
      <c r="F15" s="189">
        <f t="shared" si="0"/>
        <v>0</v>
      </c>
    </row>
    <row r="16" spans="1:6" ht="18.75" customHeight="1">
      <c r="A16" s="94"/>
      <c r="B16" s="608" t="s">
        <v>726</v>
      </c>
      <c r="C16" s="608"/>
      <c r="D16" s="188">
        <v>0.35</v>
      </c>
      <c r="E16" s="143"/>
      <c r="F16" s="189">
        <f t="shared" si="0"/>
        <v>0</v>
      </c>
    </row>
    <row r="17" spans="1:6" ht="18.75" customHeight="1">
      <c r="A17" s="94"/>
      <c r="B17" s="608" t="s">
        <v>727</v>
      </c>
      <c r="C17" s="608"/>
      <c r="D17" s="188">
        <v>0.4</v>
      </c>
      <c r="E17" s="143"/>
      <c r="F17" s="189">
        <f t="shared" si="0"/>
        <v>0</v>
      </c>
    </row>
    <row r="18" spans="1:6" ht="18.75" customHeight="1">
      <c r="A18" s="94"/>
      <c r="B18" s="608" t="s">
        <v>728</v>
      </c>
      <c r="C18" s="608"/>
      <c r="D18" s="188">
        <v>0.45</v>
      </c>
      <c r="E18" s="143"/>
      <c r="F18" s="189">
        <f t="shared" si="0"/>
        <v>0</v>
      </c>
    </row>
    <row r="19" spans="1:6" ht="18.75" customHeight="1">
      <c r="A19" s="94"/>
      <c r="B19" s="608" t="s">
        <v>729</v>
      </c>
      <c r="C19" s="608"/>
      <c r="D19" s="188">
        <v>0.1</v>
      </c>
      <c r="E19" s="143"/>
      <c r="F19" s="189">
        <f t="shared" si="0"/>
        <v>0</v>
      </c>
    </row>
    <row r="20" spans="1:6" ht="18.75" customHeight="1">
      <c r="A20" s="94"/>
      <c r="B20" s="608" t="s">
        <v>730</v>
      </c>
      <c r="C20" s="608"/>
      <c r="D20" s="188">
        <v>0.2</v>
      </c>
      <c r="E20" s="143"/>
      <c r="F20" s="189">
        <f t="shared" si="0"/>
        <v>0</v>
      </c>
    </row>
    <row r="21" spans="1:6" ht="18.75" customHeight="1">
      <c r="A21" s="94"/>
      <c r="B21" s="608" t="s">
        <v>731</v>
      </c>
      <c r="C21" s="608"/>
      <c r="D21" s="188">
        <v>0.25</v>
      </c>
      <c r="E21" s="143"/>
      <c r="F21" s="189">
        <f t="shared" si="0"/>
        <v>0</v>
      </c>
    </row>
    <row r="22" spans="1:6" ht="18.75" customHeight="1">
      <c r="A22" s="94"/>
      <c r="B22" s="608" t="s">
        <v>732</v>
      </c>
      <c r="C22" s="608"/>
      <c r="D22" s="188">
        <v>0.3</v>
      </c>
      <c r="E22" s="143"/>
      <c r="F22" s="189">
        <f t="shared" si="0"/>
        <v>0</v>
      </c>
    </row>
    <row r="23" spans="1:6" ht="18.75" customHeight="1">
      <c r="A23" s="94"/>
      <c r="B23" s="608" t="s">
        <v>733</v>
      </c>
      <c r="C23" s="608"/>
      <c r="D23" s="188">
        <v>0.95</v>
      </c>
      <c r="E23" s="143"/>
      <c r="F23" s="189">
        <f t="shared" si="0"/>
        <v>0</v>
      </c>
    </row>
    <row r="24" spans="1:6" ht="18.75" customHeight="1">
      <c r="A24" s="94"/>
      <c r="B24" s="608" t="s">
        <v>734</v>
      </c>
      <c r="C24" s="608"/>
      <c r="D24" s="188">
        <v>0.75</v>
      </c>
      <c r="E24" s="143"/>
      <c r="F24" s="189">
        <f t="shared" si="0"/>
        <v>0</v>
      </c>
    </row>
    <row r="25" spans="1:6" ht="18.75" customHeight="1">
      <c r="A25" s="94"/>
      <c r="B25" s="608" t="s">
        <v>735</v>
      </c>
      <c r="C25" s="608"/>
      <c r="D25" s="188">
        <v>0.75</v>
      </c>
      <c r="E25" s="143"/>
      <c r="F25" s="189">
        <f t="shared" si="0"/>
        <v>0</v>
      </c>
    </row>
    <row r="26" spans="1:6" ht="18.75" customHeight="1">
      <c r="A26" s="94"/>
      <c r="B26" s="608" t="s">
        <v>736</v>
      </c>
      <c r="C26" s="608"/>
      <c r="D26" s="188">
        <v>0.5</v>
      </c>
      <c r="E26" s="143"/>
      <c r="F26" s="189">
        <f t="shared" si="0"/>
        <v>0</v>
      </c>
    </row>
    <row r="27" spans="1:6" ht="18.75" customHeight="1">
      <c r="A27" s="94"/>
      <c r="B27" s="608" t="s">
        <v>737</v>
      </c>
      <c r="C27" s="608"/>
      <c r="D27" s="188">
        <v>0.95</v>
      </c>
      <c r="E27" s="143"/>
      <c r="F27" s="189">
        <f t="shared" si="0"/>
        <v>0</v>
      </c>
    </row>
    <row r="28" spans="1:6" ht="18.75" customHeight="1">
      <c r="A28" s="94"/>
      <c r="B28" s="608" t="s">
        <v>738</v>
      </c>
      <c r="C28" s="608"/>
      <c r="D28" s="188">
        <v>0</v>
      </c>
      <c r="E28" s="143"/>
      <c r="F28" s="189">
        <f t="shared" si="0"/>
        <v>0</v>
      </c>
    </row>
    <row r="29" spans="1:6" ht="18.75" customHeight="1">
      <c r="A29" s="94"/>
      <c r="B29" s="643" t="s">
        <v>213</v>
      </c>
      <c r="C29" s="643"/>
      <c r="D29" s="211"/>
      <c r="E29" s="33">
        <f>SUM(E10:E28)</f>
        <v>1000</v>
      </c>
      <c r="F29" s="33">
        <f>SUM(F10:F28)</f>
        <v>950</v>
      </c>
    </row>
    <row r="30" spans="1:6" ht="34.799999999999997" customHeight="1">
      <c r="A30" s="94"/>
      <c r="B30" s="212"/>
      <c r="C30" s="212"/>
      <c r="D30" s="212"/>
      <c r="E30" s="12" t="str">
        <f>IFERROR(IF(SUM(E10:E28)='Project Info'!$C$17,"","Area Mismatch with Total Site Area"),"")</f>
        <v>Area Mismatch with Total Site Area</v>
      </c>
      <c r="F30" s="212"/>
    </row>
    <row r="31" spans="1:6" ht="18.75" customHeight="1">
      <c r="A31" s="94"/>
      <c r="B31" s="644" t="s">
        <v>214</v>
      </c>
      <c r="C31" s="644"/>
      <c r="D31" s="644"/>
      <c r="E31" s="644"/>
      <c r="F31" s="644"/>
    </row>
    <row r="32" spans="1:6" ht="18.75" customHeight="1">
      <c r="A32" s="94"/>
      <c r="B32" s="213" t="s">
        <v>215</v>
      </c>
      <c r="C32" s="609" t="s">
        <v>216</v>
      </c>
      <c r="D32" s="609"/>
      <c r="E32" s="214" t="s">
        <v>217</v>
      </c>
      <c r="F32" s="214" t="s">
        <v>218</v>
      </c>
    </row>
    <row r="33" spans="1:6" ht="18.75" customHeight="1">
      <c r="A33" s="94"/>
      <c r="B33" s="215"/>
      <c r="C33" s="642">
        <v>2025</v>
      </c>
      <c r="D33" s="642"/>
      <c r="E33" s="215" t="s">
        <v>515</v>
      </c>
      <c r="F33" s="216">
        <v>500</v>
      </c>
    </row>
    <row r="34" spans="1:6" ht="18.75" customHeight="1">
      <c r="A34" s="94"/>
      <c r="B34" s="215"/>
      <c r="C34" s="642">
        <v>2026</v>
      </c>
      <c r="D34" s="642"/>
      <c r="E34" s="215" t="s">
        <v>516</v>
      </c>
      <c r="F34" s="216">
        <v>300</v>
      </c>
    </row>
    <row r="35" spans="1:6" ht="18.75" customHeight="1">
      <c r="A35" s="94"/>
      <c r="B35" s="215"/>
      <c r="C35" s="642">
        <v>2027</v>
      </c>
      <c r="D35" s="642"/>
      <c r="E35" s="215" t="s">
        <v>517</v>
      </c>
      <c r="F35" s="216">
        <v>200</v>
      </c>
    </row>
    <row r="36" spans="1:6" ht="18.75" customHeight="1">
      <c r="A36" s="94"/>
      <c r="B36" s="215"/>
      <c r="C36" s="642">
        <v>2028</v>
      </c>
      <c r="D36" s="642"/>
      <c r="E36" s="215" t="s">
        <v>518</v>
      </c>
      <c r="F36" s="216">
        <v>200</v>
      </c>
    </row>
    <row r="37" spans="1:6" ht="18.75" customHeight="1">
      <c r="A37" s="94"/>
      <c r="B37" s="215"/>
      <c r="C37" s="642">
        <v>2029</v>
      </c>
      <c r="D37" s="642"/>
      <c r="E37" s="215" t="s">
        <v>519</v>
      </c>
      <c r="F37" s="216">
        <v>300</v>
      </c>
    </row>
    <row r="38" spans="1:6" ht="24" customHeight="1">
      <c r="A38" s="94"/>
      <c r="B38" s="640" t="s">
        <v>219</v>
      </c>
      <c r="C38" s="640"/>
      <c r="D38" s="640"/>
      <c r="E38" s="641">
        <f>IFERROR(AVERAGE(E33:E37),0)</f>
        <v>0</v>
      </c>
      <c r="F38" s="7">
        <f>SUM(F33:F37)/5</f>
        <v>300</v>
      </c>
    </row>
    <row r="39" spans="1:6" ht="77.400000000000006" customHeight="1">
      <c r="A39" s="94"/>
      <c r="B39" s="646" t="s">
        <v>990</v>
      </c>
      <c r="C39" s="646"/>
      <c r="D39" s="647"/>
      <c r="E39" s="647"/>
      <c r="F39" s="648"/>
    </row>
    <row r="40" spans="1:6" ht="32.4" customHeight="1">
      <c r="A40" s="94"/>
      <c r="B40" s="199" t="s">
        <v>220</v>
      </c>
      <c r="C40" s="217" t="s">
        <v>134</v>
      </c>
      <c r="D40" s="199" t="s">
        <v>221</v>
      </c>
      <c r="E40" s="199" t="s">
        <v>222</v>
      </c>
      <c r="F40" s="101"/>
    </row>
    <row r="41" spans="1:6" ht="18.75" customHeight="1">
      <c r="A41" s="94"/>
      <c r="B41" s="218" t="s">
        <v>223</v>
      </c>
      <c r="C41" s="205" t="s">
        <v>139</v>
      </c>
      <c r="D41" s="221" t="str">
        <f>IF(C41="☑","9%","")</f>
        <v/>
      </c>
      <c r="E41" s="222">
        <f>IF(AND($F$38&gt;0,$F$38&lt;=250),$F$38*D41,0)</f>
        <v>0</v>
      </c>
      <c r="F41" s="101"/>
    </row>
    <row r="42" spans="1:6" ht="18.75" customHeight="1">
      <c r="A42" s="94"/>
      <c r="B42" s="143" t="s">
        <v>224</v>
      </c>
      <c r="C42" s="205" t="s">
        <v>134</v>
      </c>
      <c r="D42" s="223" t="str">
        <f>IF(C42="☑","8%","")</f>
        <v>8%</v>
      </c>
      <c r="E42" s="222">
        <f>IF(AND($F$38&gt;250,$F$38&lt;=350),$F$38*D42,0)</f>
        <v>24</v>
      </c>
      <c r="F42" s="101"/>
    </row>
    <row r="43" spans="1:6" ht="18.75" customHeight="1">
      <c r="A43" s="94"/>
      <c r="B43" s="143" t="s">
        <v>225</v>
      </c>
      <c r="C43" s="205" t="s">
        <v>139</v>
      </c>
      <c r="D43" s="223" t="str">
        <f>IF(C43="☑","6%","")</f>
        <v/>
      </c>
      <c r="E43" s="222">
        <f>IF(AND($F$38&gt;350,$F$38&lt;=500),$F$38*D43,0)</f>
        <v>0</v>
      </c>
      <c r="F43" s="97"/>
    </row>
    <row r="44" spans="1:6" ht="18.75" customHeight="1">
      <c r="A44" s="94"/>
      <c r="B44" s="143" t="s">
        <v>226</v>
      </c>
      <c r="C44" s="219" t="s">
        <v>139</v>
      </c>
      <c r="D44" s="223" t="str">
        <f>IF(C44="☑","5%","")</f>
        <v/>
      </c>
      <c r="E44" s="222">
        <f>IF(AND($F$38&gt;500,$F$38&lt;=700),$F$38*D44,0)</f>
        <v>0</v>
      </c>
      <c r="F44" s="105"/>
    </row>
    <row r="45" spans="1:6" ht="18.75" customHeight="1">
      <c r="A45" s="94"/>
      <c r="B45" s="143" t="s">
        <v>227</v>
      </c>
      <c r="C45" s="205" t="s">
        <v>139</v>
      </c>
      <c r="D45" s="223" t="str">
        <f>IF(C45="☑","3%","")</f>
        <v/>
      </c>
      <c r="E45" s="222">
        <f>IF($F$38&gt;700,$F$38*D45,0)</f>
        <v>0</v>
      </c>
      <c r="F45" s="97"/>
    </row>
    <row r="46" spans="1:6" ht="15" customHeight="1">
      <c r="A46" s="94"/>
      <c r="B46" s="621" t="s">
        <v>228</v>
      </c>
      <c r="C46" s="621"/>
      <c r="D46" s="621"/>
      <c r="E46" s="224">
        <f>MAX(E41:E45)</f>
        <v>24</v>
      </c>
      <c r="F46" s="97"/>
    </row>
    <row r="47" spans="1:6" ht="16.2" customHeight="1" thickBot="1">
      <c r="A47" s="94"/>
      <c r="B47" s="644" t="s">
        <v>277</v>
      </c>
      <c r="C47" s="644"/>
      <c r="D47" s="644"/>
      <c r="E47" s="644"/>
      <c r="F47" s="644"/>
    </row>
    <row r="48" spans="1:6" ht="16.2" customHeight="1" thickBot="1">
      <c r="A48" s="94"/>
      <c r="B48" s="570" t="s">
        <v>503</v>
      </c>
      <c r="C48" s="570"/>
      <c r="D48" s="570"/>
      <c r="E48" s="225">
        <f>(F29*E46)/1000</f>
        <v>22.8</v>
      </c>
      <c r="F48" s="97"/>
    </row>
    <row r="49" spans="1:6" ht="17.399999999999999" customHeight="1">
      <c r="A49" s="94"/>
      <c r="B49" s="570" t="s">
        <v>1407</v>
      </c>
      <c r="C49" s="570"/>
      <c r="D49" s="570"/>
      <c r="E49" s="124">
        <v>20</v>
      </c>
      <c r="F49" s="97"/>
    </row>
    <row r="50" spans="1:6" ht="20.399999999999999" customHeight="1" thickBot="1">
      <c r="A50" s="94"/>
      <c r="B50" s="560" t="s">
        <v>1018</v>
      </c>
      <c r="C50" s="560"/>
      <c r="D50" s="560"/>
      <c r="E50" s="124">
        <v>5</v>
      </c>
      <c r="F50" s="101"/>
    </row>
    <row r="51" spans="1:6" ht="20.399999999999999" customHeight="1" thickBot="1">
      <c r="A51" s="94"/>
      <c r="B51" s="650" t="s">
        <v>1019</v>
      </c>
      <c r="C51" s="650"/>
      <c r="D51" s="650"/>
      <c r="E51" s="225">
        <f>SUM(E49:E50)</f>
        <v>25</v>
      </c>
      <c r="F51" s="101"/>
    </row>
    <row r="52" spans="1:6" ht="57" customHeight="1">
      <c r="A52" s="94"/>
      <c r="B52" s="649" t="s">
        <v>230</v>
      </c>
      <c r="C52" s="649"/>
      <c r="D52" s="649"/>
      <c r="E52" s="649"/>
      <c r="F52" s="220" t="s">
        <v>139</v>
      </c>
    </row>
    <row r="53" spans="1:6" ht="15" customHeight="1">
      <c r="A53" s="94"/>
      <c r="B53" s="97"/>
      <c r="C53" s="97"/>
      <c r="D53" s="97"/>
      <c r="E53" s="97"/>
      <c r="F53" s="97"/>
    </row>
    <row r="54" spans="1:6" ht="15" customHeight="1">
      <c r="A54" s="94"/>
      <c r="B54" s="566" t="s">
        <v>1661</v>
      </c>
      <c r="C54" s="566"/>
      <c r="D54" s="566"/>
      <c r="E54" s="566"/>
      <c r="F54" s="566"/>
    </row>
    <row r="55" spans="1:6" ht="15" customHeight="1">
      <c r="A55" s="94"/>
      <c r="B55" s="92" t="s">
        <v>921</v>
      </c>
      <c r="C55" s="92"/>
      <c r="D55" s="92"/>
      <c r="E55" s="92"/>
      <c r="F55" s="92"/>
    </row>
    <row r="56" spans="1:6" ht="15" customHeight="1">
      <c r="A56" s="103"/>
      <c r="B56" s="560" t="s">
        <v>1408</v>
      </c>
      <c r="C56" s="560"/>
      <c r="D56" s="560"/>
      <c r="E56" s="560"/>
      <c r="F56" s="101" t="s">
        <v>139</v>
      </c>
    </row>
    <row r="57" spans="1:6" ht="15" customHeight="1">
      <c r="A57" s="103"/>
      <c r="B57" s="560" t="s">
        <v>920</v>
      </c>
      <c r="C57" s="560"/>
      <c r="D57" s="560"/>
      <c r="E57" s="560"/>
      <c r="F57" s="101" t="s">
        <v>139</v>
      </c>
    </row>
    <row r="58" spans="1:6" ht="15" customHeight="1">
      <c r="A58" s="103"/>
      <c r="B58" s="560" t="s">
        <v>922</v>
      </c>
      <c r="C58" s="560"/>
      <c r="D58" s="560"/>
      <c r="E58" s="560"/>
      <c r="F58" s="101" t="s">
        <v>139</v>
      </c>
    </row>
    <row r="59" spans="1:6" ht="17.399999999999999" customHeight="1">
      <c r="A59" s="103"/>
      <c r="B59" s="560" t="s">
        <v>923</v>
      </c>
      <c r="C59" s="560"/>
      <c r="D59" s="560"/>
      <c r="E59" s="560"/>
      <c r="F59" s="101" t="s">
        <v>139</v>
      </c>
    </row>
    <row r="60" spans="1:6" ht="17.399999999999999" customHeight="1">
      <c r="A60" s="103"/>
      <c r="B60" s="132" t="s">
        <v>924</v>
      </c>
      <c r="C60" s="104"/>
      <c r="D60" s="104"/>
      <c r="E60" s="104"/>
      <c r="F60" s="101"/>
    </row>
    <row r="61" spans="1:6" ht="17.399999999999999" customHeight="1">
      <c r="A61" s="114"/>
      <c r="B61" s="560" t="s">
        <v>925</v>
      </c>
      <c r="C61" s="560"/>
      <c r="D61" s="560"/>
      <c r="E61" s="560"/>
      <c r="F61" s="101" t="s">
        <v>139</v>
      </c>
    </row>
    <row r="62" spans="1:6" ht="15.6" customHeight="1">
      <c r="A62" s="114"/>
      <c r="B62" s="645" t="s">
        <v>147</v>
      </c>
      <c r="C62" s="645"/>
      <c r="D62" s="645"/>
      <c r="E62" s="105"/>
    </row>
    <row r="63" spans="1:6" ht="14.4">
      <c r="A63" s="114"/>
      <c r="B63" s="97"/>
      <c r="C63" s="97"/>
      <c r="D63" s="97"/>
      <c r="E63" s="97"/>
    </row>
    <row r="64" spans="1:6" ht="14.4">
      <c r="A64" s="114"/>
      <c r="B64" s="97"/>
      <c r="C64" s="97"/>
      <c r="D64" s="97"/>
      <c r="E64" s="97"/>
    </row>
    <row r="65" spans="1:5" ht="14.4">
      <c r="A65" s="114"/>
      <c r="B65" s="97"/>
      <c r="C65" s="97"/>
      <c r="D65" s="97"/>
      <c r="E65" s="97"/>
    </row>
    <row r="66" spans="1:5">
      <c r="B66" s="97"/>
      <c r="C66" s="97"/>
      <c r="D66" s="97"/>
      <c r="E66" s="97"/>
    </row>
    <row r="67" spans="1:5">
      <c r="B67" s="97"/>
      <c r="C67" s="97"/>
      <c r="D67" s="97"/>
      <c r="E67" s="97"/>
    </row>
  </sheetData>
  <sheetProtection sheet="1" objects="1" scenarios="1"/>
  <mergeCells count="51">
    <mergeCell ref="B18:C18"/>
    <mergeCell ref="C32:D32"/>
    <mergeCell ref="C33:D33"/>
    <mergeCell ref="C34:D34"/>
    <mergeCell ref="C35:D35"/>
    <mergeCell ref="B19:C19"/>
    <mergeCell ref="B20:C20"/>
    <mergeCell ref="B22:C22"/>
    <mergeCell ref="B23:C23"/>
    <mergeCell ref="B21:C21"/>
    <mergeCell ref="B24:C24"/>
    <mergeCell ref="B25:C25"/>
    <mergeCell ref="B62:D62"/>
    <mergeCell ref="B39:C39"/>
    <mergeCell ref="D39:F39"/>
    <mergeCell ref="B61:E61"/>
    <mergeCell ref="B54:F54"/>
    <mergeCell ref="B52:E52"/>
    <mergeCell ref="B46:D46"/>
    <mergeCell ref="B58:E58"/>
    <mergeCell ref="B59:E59"/>
    <mergeCell ref="B57:E57"/>
    <mergeCell ref="B47:F47"/>
    <mergeCell ref="B48:D48"/>
    <mergeCell ref="B50:D50"/>
    <mergeCell ref="B49:D49"/>
    <mergeCell ref="B51:D51"/>
    <mergeCell ref="B56:E56"/>
    <mergeCell ref="B38:E38"/>
    <mergeCell ref="C37:D37"/>
    <mergeCell ref="B29:C29"/>
    <mergeCell ref="B31:F31"/>
    <mergeCell ref="B26:C26"/>
    <mergeCell ref="B27:C27"/>
    <mergeCell ref="B28:C28"/>
    <mergeCell ref="C36:D36"/>
    <mergeCell ref="B3:D3"/>
    <mergeCell ref="E3:F3"/>
    <mergeCell ref="B15:C15"/>
    <mergeCell ref="B16:C16"/>
    <mergeCell ref="B17:C17"/>
    <mergeCell ref="B5:F5"/>
    <mergeCell ref="B6:F6"/>
    <mergeCell ref="B7:E7"/>
    <mergeCell ref="B8:E8"/>
    <mergeCell ref="B12:C12"/>
    <mergeCell ref="B9:C9"/>
    <mergeCell ref="B10:C10"/>
    <mergeCell ref="B11:C11"/>
    <mergeCell ref="B13:C13"/>
    <mergeCell ref="B14:C14"/>
  </mergeCells>
  <phoneticPr fontId="26" type="noConversion"/>
  <conditionalFormatting sqref="A58">
    <cfRule type="expression" dxfId="118" priority="55">
      <formula>$F$52&lt;&gt;"☑"</formula>
    </cfRule>
  </conditionalFormatting>
  <conditionalFormatting sqref="A8:A48 A54:A57">
    <cfRule type="expression" dxfId="117" priority="40">
      <formula>$F$8&lt;&gt;"☑"</formula>
    </cfRule>
  </conditionalFormatting>
  <conditionalFormatting sqref="E3:F3">
    <cfRule type="expression" dxfId="116" priority="43">
      <formula>E3="COMPLIANT"</formula>
    </cfRule>
    <cfRule type="expression" dxfId="115" priority="44">
      <formula>E3="PENDING"</formula>
    </cfRule>
  </conditionalFormatting>
  <conditionalFormatting sqref="E30">
    <cfRule type="expression" dxfId="114" priority="2">
      <formula>$E$30="Area Mismatch with Total Site Area"</formula>
    </cfRule>
  </conditionalFormatting>
  <conditionalFormatting sqref="B9:F51">
    <cfRule type="expression" dxfId="113" priority="1">
      <formula>$F$8&lt;&gt;"☑"</formula>
    </cfRule>
  </conditionalFormatting>
  <dataValidations count="2">
    <dataValidation type="list" sqref="A1 F52 F8 C40:C45 F56:F61" xr:uid="{00000000-0002-0000-0900-000000000000}">
      <formula1>"☐,☑"</formula1>
    </dataValidation>
    <dataValidation sqref="F50:F51 F9 F33:F38" xr:uid="{00000000-0002-0000-0900-000001000000}"/>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R50"/>
  <sheetViews>
    <sheetView zoomScale="80" zoomScaleNormal="80" workbookViewId="0">
      <selection activeCell="J12" sqref="J12"/>
    </sheetView>
  </sheetViews>
  <sheetFormatPr defaultRowHeight="13.8"/>
  <cols>
    <col min="1" max="1" width="6.19921875" style="93" customWidth="1"/>
    <col min="2" max="2" width="28.796875" style="93" customWidth="1"/>
    <col min="3" max="3" width="12.19921875" style="93" customWidth="1"/>
    <col min="4" max="5" width="10.09765625" style="93" customWidth="1"/>
    <col min="6" max="6" width="10.59765625" style="93" customWidth="1"/>
    <col min="7" max="7" width="11.5" style="93" customWidth="1"/>
    <col min="8" max="8" width="10.59765625" style="93" customWidth="1"/>
    <col min="9" max="9" width="10.19921875" style="93" customWidth="1"/>
    <col min="10" max="10" width="7.69921875" style="93" customWidth="1"/>
    <col min="11" max="11" width="24.69921875" style="93" customWidth="1"/>
    <col min="12" max="12" width="21" style="93" customWidth="1"/>
    <col min="13" max="13" width="28" style="93" customWidth="1"/>
    <col min="14" max="14" width="17.09765625" style="93" customWidth="1"/>
    <col min="15" max="15" width="13.296875" style="93" customWidth="1"/>
    <col min="16" max="16384" width="8.796875" style="93"/>
  </cols>
  <sheetData>
    <row r="1" spans="1:18" ht="17.7" customHeight="1">
      <c r="A1" s="91" t="s">
        <v>134</v>
      </c>
      <c r="B1" s="92" t="s">
        <v>135</v>
      </c>
      <c r="C1" s="92"/>
      <c r="D1" s="92"/>
      <c r="E1" s="92"/>
    </row>
    <row r="2" spans="1:18" ht="25.35" customHeight="1">
      <c r="A2" s="94"/>
      <c r="B2" s="203" t="s">
        <v>27</v>
      </c>
      <c r="C2" s="203"/>
      <c r="D2" s="203"/>
      <c r="E2" s="203"/>
      <c r="F2" s="203"/>
      <c r="G2" s="203"/>
      <c r="H2" s="203"/>
      <c r="I2" s="203"/>
      <c r="J2" s="601"/>
      <c r="K2" s="601"/>
      <c r="L2" s="203"/>
      <c r="M2" s="601" t="s">
        <v>26</v>
      </c>
      <c r="N2" s="601"/>
      <c r="O2" s="601"/>
    </row>
    <row r="3" spans="1:18" ht="15" customHeight="1">
      <c r="A3" s="94"/>
      <c r="B3" s="635" t="s">
        <v>136</v>
      </c>
      <c r="C3" s="635"/>
      <c r="D3" s="635"/>
      <c r="E3" s="635"/>
      <c r="F3" s="635"/>
      <c r="G3" s="635"/>
      <c r="H3" s="635"/>
      <c r="I3" s="635"/>
      <c r="J3" s="636" t="str">
        <f>IF(OR(D36&gt;I36,N30&lt;=M31),"COMPLIANT","PENDING")</f>
        <v>COMPLIANT</v>
      </c>
      <c r="K3" s="636"/>
      <c r="L3" s="636"/>
      <c r="M3" s="636"/>
      <c r="N3" s="636"/>
      <c r="O3" s="636"/>
    </row>
    <row r="4" spans="1:18" ht="15.6" customHeight="1">
      <c r="A4" s="94"/>
      <c r="B4" s="96" t="s">
        <v>5</v>
      </c>
      <c r="C4" s="632"/>
      <c r="D4" s="632"/>
      <c r="E4" s="632"/>
      <c r="F4" s="632"/>
      <c r="G4" s="632"/>
      <c r="H4" s="632"/>
      <c r="I4" s="632"/>
      <c r="J4" s="632"/>
      <c r="K4" s="632"/>
      <c r="L4" s="632"/>
      <c r="M4" s="632" t="str">
        <f>HYPERLINK("#'Checklist'!A1","Go To Checklist")</f>
        <v>Go To Checklist</v>
      </c>
      <c r="N4" s="632"/>
      <c r="O4" s="632"/>
    </row>
    <row r="5" spans="1:18" ht="49.8" customHeight="1">
      <c r="A5" s="94"/>
      <c r="B5" s="652" t="s">
        <v>710</v>
      </c>
      <c r="C5" s="652"/>
      <c r="D5" s="652"/>
      <c r="E5" s="652"/>
      <c r="F5" s="652"/>
      <c r="G5" s="652"/>
      <c r="H5" s="652"/>
      <c r="I5" s="652"/>
      <c r="K5" s="684" t="s">
        <v>710</v>
      </c>
      <c r="L5" s="684"/>
      <c r="M5" s="684"/>
      <c r="N5" s="684"/>
      <c r="O5" s="684"/>
      <c r="P5" s="227"/>
      <c r="Q5" s="227"/>
      <c r="R5" s="227"/>
    </row>
    <row r="6" spans="1:18" ht="20.399999999999999" customHeight="1">
      <c r="A6" s="94"/>
      <c r="B6" s="528" t="s">
        <v>931</v>
      </c>
      <c r="C6" s="528"/>
      <c r="D6" s="528"/>
      <c r="E6" s="528"/>
      <c r="F6" s="562"/>
      <c r="G6" s="562"/>
      <c r="H6" s="562"/>
      <c r="I6" s="562"/>
      <c r="K6" s="656" t="s">
        <v>931</v>
      </c>
      <c r="L6" s="656"/>
      <c r="M6" s="656"/>
      <c r="N6" s="656"/>
      <c r="O6" s="656"/>
      <c r="P6" s="227"/>
      <c r="Q6" s="227"/>
      <c r="R6" s="227"/>
    </row>
    <row r="7" spans="1:18" ht="20.399999999999999" customHeight="1">
      <c r="A7" s="94"/>
      <c r="B7" s="657" t="s">
        <v>1669</v>
      </c>
      <c r="C7" s="657"/>
      <c r="D7" s="657"/>
      <c r="E7" s="657"/>
      <c r="F7" s="657"/>
      <c r="G7" s="657"/>
      <c r="H7" s="657"/>
      <c r="I7" s="657"/>
      <c r="J7" s="657"/>
      <c r="K7" s="657"/>
      <c r="L7" s="657"/>
      <c r="M7" s="657"/>
      <c r="N7" s="657"/>
      <c r="O7" s="657"/>
      <c r="P7" s="227"/>
      <c r="Q7" s="227"/>
      <c r="R7" s="227"/>
    </row>
    <row r="8" spans="1:18" ht="24" customHeight="1">
      <c r="A8" s="94"/>
      <c r="B8" s="658" t="s">
        <v>231</v>
      </c>
      <c r="C8" s="658"/>
      <c r="D8" s="228"/>
      <c r="E8" s="229"/>
      <c r="F8" s="230"/>
      <c r="G8" s="230"/>
      <c r="H8" s="651" t="s">
        <v>134</v>
      </c>
      <c r="I8" s="651"/>
      <c r="J8" s="232" t="s">
        <v>508</v>
      </c>
      <c r="K8" s="658" t="s">
        <v>486</v>
      </c>
      <c r="L8" s="658"/>
      <c r="M8" s="233"/>
      <c r="N8" s="231"/>
      <c r="O8" s="231" t="s">
        <v>134</v>
      </c>
    </row>
    <row r="9" spans="1:18" ht="30.6" customHeight="1">
      <c r="A9" s="94"/>
      <c r="B9" s="529" t="s">
        <v>232</v>
      </c>
      <c r="C9" s="529"/>
      <c r="D9" s="529"/>
      <c r="E9" s="529"/>
      <c r="F9" s="529"/>
      <c r="G9" s="529"/>
      <c r="H9" s="529"/>
      <c r="I9" s="529"/>
      <c r="K9" s="683" t="s">
        <v>1411</v>
      </c>
      <c r="L9" s="683"/>
      <c r="M9" s="683"/>
      <c r="N9" s="683"/>
      <c r="O9" s="683"/>
    </row>
    <row r="10" spans="1:18" ht="15" customHeight="1">
      <c r="A10" s="94"/>
      <c r="B10" s="659" t="s">
        <v>521</v>
      </c>
      <c r="C10" s="659"/>
      <c r="D10" s="659"/>
      <c r="E10" s="659"/>
      <c r="F10" s="659"/>
      <c r="G10" s="659"/>
      <c r="H10" s="659"/>
      <c r="I10" s="659"/>
      <c r="K10" s="653" t="s">
        <v>533</v>
      </c>
      <c r="L10" s="682" t="s">
        <v>1409</v>
      </c>
      <c r="M10" s="682"/>
      <c r="N10" s="682" t="s">
        <v>1410</v>
      </c>
      <c r="O10" s="682"/>
    </row>
    <row r="11" spans="1:18" ht="15" customHeight="1">
      <c r="A11" s="94"/>
      <c r="B11" s="234" t="s">
        <v>522</v>
      </c>
      <c r="C11" s="660" t="s">
        <v>995</v>
      </c>
      <c r="D11" s="660"/>
      <c r="E11" s="660" t="s">
        <v>523</v>
      </c>
      <c r="F11" s="660"/>
      <c r="G11" s="660"/>
      <c r="H11" s="660" t="s">
        <v>524</v>
      </c>
      <c r="I11" s="660"/>
      <c r="K11" s="653"/>
      <c r="L11" s="682"/>
      <c r="M11" s="682"/>
      <c r="N11" s="682"/>
      <c r="O11" s="682"/>
    </row>
    <row r="12" spans="1:18" ht="30" customHeight="1">
      <c r="A12" s="94"/>
      <c r="B12" s="235" t="s">
        <v>991</v>
      </c>
      <c r="C12" s="664">
        <v>0</v>
      </c>
      <c r="D12" s="664"/>
      <c r="E12" s="673" t="s">
        <v>994</v>
      </c>
      <c r="F12" s="673"/>
      <c r="G12" s="673"/>
      <c r="H12" s="665">
        <f>C12</f>
        <v>0</v>
      </c>
      <c r="I12" s="665"/>
      <c r="K12" s="218" t="s">
        <v>1032</v>
      </c>
      <c r="L12" s="655"/>
      <c r="M12" s="655"/>
      <c r="N12" s="655"/>
      <c r="O12" s="655"/>
    </row>
    <row r="13" spans="1:18" ht="30" customHeight="1">
      <c r="A13" s="94"/>
      <c r="B13" s="235" t="s">
        <v>992</v>
      </c>
      <c r="C13" s="664">
        <v>0</v>
      </c>
      <c r="D13" s="664"/>
      <c r="E13" s="664">
        <v>0</v>
      </c>
      <c r="F13" s="664"/>
      <c r="G13" s="664"/>
      <c r="H13" s="665">
        <f t="shared" ref="H13:H14" si="0">(C13*E13)/8</f>
        <v>0</v>
      </c>
      <c r="I13" s="665"/>
      <c r="K13" s="218" t="s">
        <v>1033</v>
      </c>
      <c r="L13" s="655"/>
      <c r="M13" s="655"/>
      <c r="N13" s="655"/>
      <c r="O13" s="655"/>
    </row>
    <row r="14" spans="1:18" ht="30" customHeight="1">
      <c r="A14" s="94"/>
      <c r="B14" s="235" t="s">
        <v>993</v>
      </c>
      <c r="C14" s="664">
        <v>0</v>
      </c>
      <c r="D14" s="664"/>
      <c r="E14" s="664">
        <v>0</v>
      </c>
      <c r="F14" s="664"/>
      <c r="G14" s="664"/>
      <c r="H14" s="665">
        <f t="shared" si="0"/>
        <v>0</v>
      </c>
      <c r="I14" s="665"/>
      <c r="K14" s="218" t="s">
        <v>1034</v>
      </c>
      <c r="L14" s="655"/>
      <c r="M14" s="655"/>
      <c r="N14" s="655"/>
      <c r="O14" s="655"/>
    </row>
    <row r="15" spans="1:18" ht="30" customHeight="1">
      <c r="A15" s="94"/>
      <c r="B15" s="662" t="s">
        <v>525</v>
      </c>
      <c r="C15" s="662"/>
      <c r="D15" s="662"/>
      <c r="E15" s="662"/>
      <c r="F15" s="662"/>
      <c r="G15" s="662"/>
      <c r="H15" s="663">
        <f>SUM(H12:I14)</f>
        <v>0</v>
      </c>
      <c r="I15" s="663"/>
      <c r="K15" s="218" t="s">
        <v>1035</v>
      </c>
      <c r="L15" s="655"/>
      <c r="M15" s="655"/>
      <c r="N15" s="655"/>
      <c r="O15" s="655"/>
    </row>
    <row r="16" spans="1:18" ht="30" customHeight="1">
      <c r="A16" s="94"/>
      <c r="B16" s="567" t="s">
        <v>1442</v>
      </c>
      <c r="C16" s="567"/>
      <c r="D16" s="104"/>
      <c r="E16" s="104"/>
      <c r="F16" s="104"/>
      <c r="G16" s="104"/>
      <c r="H16" s="104"/>
      <c r="I16" s="101"/>
      <c r="K16" s="218" t="s">
        <v>1036</v>
      </c>
      <c r="L16" s="655"/>
      <c r="M16" s="655"/>
      <c r="N16" s="655"/>
      <c r="O16" s="655"/>
    </row>
    <row r="17" spans="1:18" ht="30" customHeight="1">
      <c r="A17" s="661"/>
      <c r="B17" s="654" t="s">
        <v>233</v>
      </c>
      <c r="C17" s="654" t="s">
        <v>234</v>
      </c>
      <c r="D17" s="654" t="s">
        <v>501</v>
      </c>
      <c r="E17" s="654" t="s">
        <v>524</v>
      </c>
      <c r="F17" s="654" t="s">
        <v>235</v>
      </c>
      <c r="G17" s="654"/>
      <c r="H17" s="654" t="s">
        <v>236</v>
      </c>
      <c r="I17" s="654"/>
      <c r="K17" s="218" t="s">
        <v>1037</v>
      </c>
      <c r="L17" s="655"/>
      <c r="M17" s="655"/>
      <c r="N17" s="655"/>
      <c r="O17" s="655"/>
    </row>
    <row r="18" spans="1:18" ht="31.2" customHeight="1">
      <c r="A18" s="661"/>
      <c r="B18" s="654"/>
      <c r="C18" s="654"/>
      <c r="D18" s="654"/>
      <c r="E18" s="654"/>
      <c r="F18" s="236" t="s">
        <v>237</v>
      </c>
      <c r="G18" s="236" t="s">
        <v>238</v>
      </c>
      <c r="H18" s="236" t="s">
        <v>237</v>
      </c>
      <c r="I18" s="236" t="s">
        <v>238</v>
      </c>
      <c r="K18" s="218" t="s">
        <v>1038</v>
      </c>
      <c r="L18" s="655"/>
      <c r="M18" s="655"/>
      <c r="N18" s="655"/>
      <c r="O18" s="655"/>
    </row>
    <row r="19" spans="1:18" ht="30" customHeight="1">
      <c r="A19" s="237"/>
      <c r="B19" s="238" t="s">
        <v>239</v>
      </c>
      <c r="C19" s="238" t="s">
        <v>240</v>
      </c>
      <c r="D19" s="251">
        <v>1</v>
      </c>
      <c r="E19" s="252">
        <f>SUM(H13:I14)</f>
        <v>0</v>
      </c>
      <c r="F19" s="238">
        <v>6</v>
      </c>
      <c r="G19" s="252">
        <f>F19*D19*E19</f>
        <v>0</v>
      </c>
      <c r="H19" s="238">
        <v>4.8</v>
      </c>
      <c r="I19" s="252">
        <f>H19*D19*E19</f>
        <v>0</v>
      </c>
      <c r="K19" s="218" t="s">
        <v>1039</v>
      </c>
      <c r="L19" s="655"/>
      <c r="M19" s="655"/>
      <c r="N19" s="655"/>
      <c r="O19" s="655"/>
    </row>
    <row r="20" spans="1:18" ht="30" customHeight="1">
      <c r="A20" s="237"/>
      <c r="B20" s="238" t="s">
        <v>241</v>
      </c>
      <c r="C20" s="238" t="s">
        <v>240</v>
      </c>
      <c r="D20" s="251">
        <v>2</v>
      </c>
      <c r="E20" s="252">
        <f>0.5*SUM(H13:I14)</f>
        <v>0</v>
      </c>
      <c r="F20" s="238">
        <v>3</v>
      </c>
      <c r="G20" s="252">
        <f>F20*D20*E20</f>
        <v>0</v>
      </c>
      <c r="H20" s="238">
        <v>2</v>
      </c>
      <c r="I20" s="252">
        <f>H20*D20*E20</f>
        <v>0</v>
      </c>
      <c r="K20" s="218" t="s">
        <v>1040</v>
      </c>
      <c r="L20" s="655"/>
      <c r="M20" s="655"/>
      <c r="N20" s="655"/>
      <c r="O20" s="655"/>
    </row>
    <row r="21" spans="1:18" ht="30" customHeight="1">
      <c r="A21" s="237"/>
      <c r="B21" s="238" t="s">
        <v>242</v>
      </c>
      <c r="C21" s="238" t="s">
        <v>240</v>
      </c>
      <c r="D21" s="251">
        <v>2</v>
      </c>
      <c r="E21" s="252">
        <f>0.5*SUM(H13:I14)</f>
        <v>0</v>
      </c>
      <c r="F21" s="238">
        <v>3</v>
      </c>
      <c r="G21" s="252">
        <f>F21*D21*E21</f>
        <v>0</v>
      </c>
      <c r="H21" s="238">
        <v>1.5</v>
      </c>
      <c r="I21" s="252">
        <f>H21*D21*E21</f>
        <v>0</v>
      </c>
      <c r="K21" s="218" t="s">
        <v>1041</v>
      </c>
      <c r="L21" s="655"/>
      <c r="M21" s="655"/>
      <c r="N21" s="655"/>
      <c r="O21" s="655"/>
    </row>
    <row r="22" spans="1:18" ht="30" customHeight="1">
      <c r="A22" s="237"/>
      <c r="B22" s="238" t="s">
        <v>243</v>
      </c>
      <c r="C22" s="238" t="s">
        <v>244</v>
      </c>
      <c r="D22" s="251">
        <v>4</v>
      </c>
      <c r="E22" s="253">
        <f>SUM(H13:I14)</f>
        <v>0</v>
      </c>
      <c r="F22" s="238">
        <v>8</v>
      </c>
      <c r="G22" s="252">
        <f>F22*(15/60)*D22*E22</f>
        <v>0</v>
      </c>
      <c r="H22" s="238">
        <v>6</v>
      </c>
      <c r="I22" s="252">
        <f>H22*(15/60)*D22*E22</f>
        <v>0</v>
      </c>
      <c r="K22" s="218" t="s">
        <v>1042</v>
      </c>
      <c r="L22" s="655"/>
      <c r="M22" s="655"/>
      <c r="N22" s="655"/>
      <c r="O22" s="655"/>
    </row>
    <row r="23" spans="1:18" ht="30" customHeight="1">
      <c r="A23" s="237"/>
      <c r="B23" s="238" t="s">
        <v>245</v>
      </c>
      <c r="C23" s="238" t="s">
        <v>246</v>
      </c>
      <c r="D23" s="251">
        <v>0.1</v>
      </c>
      <c r="E23" s="253">
        <f>SUM(H13:I14)</f>
        <v>0</v>
      </c>
      <c r="F23" s="238">
        <v>10</v>
      </c>
      <c r="G23" s="252">
        <f>F23*8*D23*E23</f>
        <v>0</v>
      </c>
      <c r="H23" s="238">
        <v>8</v>
      </c>
      <c r="I23" s="252">
        <f>H23*8*D23*E23</f>
        <v>0</v>
      </c>
      <c r="K23" s="218" t="s">
        <v>1043</v>
      </c>
      <c r="L23" s="655"/>
      <c r="M23" s="655"/>
      <c r="N23" s="655"/>
      <c r="O23" s="655"/>
    </row>
    <row r="24" spans="1:18" ht="30" customHeight="1">
      <c r="A24" s="237"/>
      <c r="B24" s="238" t="s">
        <v>247</v>
      </c>
      <c r="C24" s="238" t="s">
        <v>244</v>
      </c>
      <c r="D24" s="251">
        <v>1</v>
      </c>
      <c r="E24" s="253">
        <f>SUM(H13:I14)</f>
        <v>0</v>
      </c>
      <c r="F24" s="238">
        <v>6</v>
      </c>
      <c r="G24" s="252">
        <f>F24*(15/60)*D24*E24</f>
        <v>0</v>
      </c>
      <c r="H24" s="238">
        <v>4</v>
      </c>
      <c r="I24" s="252">
        <f>H24*(15/60)*D24*E24</f>
        <v>0</v>
      </c>
      <c r="K24" s="685" t="s">
        <v>509</v>
      </c>
      <c r="L24" s="685"/>
      <c r="M24" s="685"/>
      <c r="N24" s="677">
        <f>SUM(N12:O23)</f>
        <v>0</v>
      </c>
      <c r="O24" s="677"/>
    </row>
    <row r="25" spans="1:18" ht="39" customHeight="1">
      <c r="A25" s="207"/>
      <c r="B25" s="242"/>
      <c r="C25" s="242"/>
      <c r="D25" s="242"/>
      <c r="E25" s="666" t="s">
        <v>249</v>
      </c>
      <c r="F25" s="666"/>
      <c r="G25" s="254">
        <f>SUM(G19:G24)</f>
        <v>0</v>
      </c>
      <c r="H25" s="255" t="s">
        <v>250</v>
      </c>
      <c r="I25" s="254">
        <f>SUM(I19:I24)</f>
        <v>0</v>
      </c>
      <c r="K25" s="143" t="s">
        <v>254</v>
      </c>
      <c r="L25" s="621" t="s">
        <v>255</v>
      </c>
      <c r="M25" s="621"/>
      <c r="N25" s="621">
        <v>10000</v>
      </c>
      <c r="O25" s="621"/>
    </row>
    <row r="26" spans="1:18" ht="30" customHeight="1">
      <c r="A26" s="207"/>
      <c r="B26" s="676" t="s">
        <v>1441</v>
      </c>
      <c r="C26" s="676"/>
      <c r="D26" s="104"/>
      <c r="E26" s="104"/>
      <c r="F26" s="104"/>
      <c r="G26" s="104"/>
      <c r="H26" s="104"/>
      <c r="I26" s="101"/>
      <c r="K26" s="235" t="s">
        <v>281</v>
      </c>
      <c r="L26" s="686" t="s">
        <v>886</v>
      </c>
      <c r="M26" s="686"/>
      <c r="N26" s="678">
        <f>IF('Project Info'!C11="Luxury Hotel",600,IF('Project Info'!C11="Business Hotel",400,""))</f>
        <v>400</v>
      </c>
      <c r="O26" s="678"/>
    </row>
    <row r="27" spans="1:18" ht="30" customHeight="1">
      <c r="A27" s="207"/>
      <c r="B27" s="679" t="s">
        <v>233</v>
      </c>
      <c r="C27" s="679" t="s">
        <v>234</v>
      </c>
      <c r="D27" s="679" t="s">
        <v>501</v>
      </c>
      <c r="E27" s="679" t="s">
        <v>520</v>
      </c>
      <c r="F27" s="680" t="s">
        <v>235</v>
      </c>
      <c r="G27" s="681"/>
      <c r="H27" s="679" t="s">
        <v>236</v>
      </c>
      <c r="I27" s="679"/>
      <c r="K27" s="143" t="s">
        <v>868</v>
      </c>
      <c r="L27" s="621" t="s">
        <v>869</v>
      </c>
      <c r="M27" s="621"/>
      <c r="N27" s="674">
        <f>IFERROR(N25/N24,0)</f>
        <v>0</v>
      </c>
      <c r="O27" s="674"/>
    </row>
    <row r="28" spans="1:18" ht="30" customHeight="1">
      <c r="A28" s="94"/>
      <c r="B28" s="679"/>
      <c r="C28" s="679"/>
      <c r="D28" s="679"/>
      <c r="E28" s="679"/>
      <c r="F28" s="245" t="s">
        <v>237</v>
      </c>
      <c r="G28" s="245" t="s">
        <v>238</v>
      </c>
      <c r="H28" s="245" t="s">
        <v>237</v>
      </c>
      <c r="I28" s="245" t="s">
        <v>238</v>
      </c>
      <c r="K28" s="124"/>
      <c r="L28" s="585"/>
      <c r="M28" s="585"/>
      <c r="N28" s="675"/>
      <c r="O28" s="675"/>
    </row>
    <row r="29" spans="1:18" ht="30" customHeight="1">
      <c r="A29" s="94"/>
      <c r="B29" s="246" t="s">
        <v>996</v>
      </c>
      <c r="C29" s="246" t="s">
        <v>240</v>
      </c>
      <c r="D29" s="256">
        <v>1</v>
      </c>
      <c r="E29" s="257">
        <f>H12</f>
        <v>0</v>
      </c>
      <c r="F29" s="246">
        <v>6</v>
      </c>
      <c r="G29" s="257">
        <f>F29*D29*E29</f>
        <v>0</v>
      </c>
      <c r="H29" s="246">
        <v>4.8</v>
      </c>
      <c r="I29" s="257">
        <f>H29*D29*E29</f>
        <v>0</v>
      </c>
      <c r="K29" s="667" t="s">
        <v>1661</v>
      </c>
      <c r="L29" s="667"/>
      <c r="M29" s="667"/>
      <c r="N29" s="667"/>
      <c r="O29" s="667"/>
    </row>
    <row r="30" spans="1:18" ht="30" customHeight="1">
      <c r="A30" s="94"/>
      <c r="B30" s="246" t="s">
        <v>997</v>
      </c>
      <c r="C30" s="246" t="s">
        <v>240</v>
      </c>
      <c r="D30" s="256">
        <v>4</v>
      </c>
      <c r="E30" s="257">
        <f>H12</f>
        <v>0</v>
      </c>
      <c r="F30" s="246">
        <v>3</v>
      </c>
      <c r="G30" s="257">
        <f>F30*D30*E30</f>
        <v>0</v>
      </c>
      <c r="H30" s="246">
        <v>2</v>
      </c>
      <c r="I30" s="257">
        <f>H30*D30*E30</f>
        <v>0</v>
      </c>
      <c r="K30" s="567" t="s">
        <v>486</v>
      </c>
      <c r="L30" s="567"/>
      <c r="M30" s="567"/>
      <c r="N30" s="567"/>
      <c r="P30" s="92"/>
      <c r="Q30" s="92"/>
      <c r="R30" s="92"/>
    </row>
    <row r="31" spans="1:18" ht="30" customHeight="1">
      <c r="A31" s="94"/>
      <c r="B31" s="246" t="s">
        <v>243</v>
      </c>
      <c r="C31" s="246" t="s">
        <v>244</v>
      </c>
      <c r="D31" s="256">
        <v>8</v>
      </c>
      <c r="E31" s="258">
        <f>H12</f>
        <v>0</v>
      </c>
      <c r="F31" s="246">
        <v>8</v>
      </c>
      <c r="G31" s="257">
        <f>F31*(15/60)*D31*E31</f>
        <v>0</v>
      </c>
      <c r="H31" s="246">
        <v>6</v>
      </c>
      <c r="I31" s="257">
        <f>H31*(15/60)*D31*E31</f>
        <v>0</v>
      </c>
      <c r="J31" s="209">
        <v>1</v>
      </c>
      <c r="K31" s="570" t="s">
        <v>887</v>
      </c>
      <c r="L31" s="570"/>
      <c r="M31" s="570"/>
      <c r="N31" s="570"/>
      <c r="O31" s="101" t="s">
        <v>139</v>
      </c>
    </row>
    <row r="32" spans="1:18" ht="30" customHeight="1">
      <c r="A32" s="94"/>
      <c r="B32" s="246" t="s">
        <v>245</v>
      </c>
      <c r="C32" s="246" t="s">
        <v>246</v>
      </c>
      <c r="D32" s="256">
        <v>1</v>
      </c>
      <c r="E32" s="258">
        <f>H12</f>
        <v>0</v>
      </c>
      <c r="F32" s="246">
        <v>10</v>
      </c>
      <c r="G32" s="257">
        <f>F32*8*D32*E32</f>
        <v>0</v>
      </c>
      <c r="H32" s="246">
        <v>8</v>
      </c>
      <c r="I32" s="257">
        <f>H32*8*D32*E32</f>
        <v>0</v>
      </c>
      <c r="J32" s="209">
        <v>2</v>
      </c>
      <c r="K32" s="570" t="s">
        <v>888</v>
      </c>
      <c r="L32" s="570"/>
      <c r="M32" s="570"/>
      <c r="N32" s="570"/>
      <c r="O32" s="101" t="s">
        <v>139</v>
      </c>
    </row>
    <row r="33" spans="1:14" ht="30" customHeight="1">
      <c r="A33" s="94"/>
      <c r="B33" s="246" t="s">
        <v>247</v>
      </c>
      <c r="C33" s="246" t="s">
        <v>244</v>
      </c>
      <c r="D33" s="256">
        <v>1</v>
      </c>
      <c r="E33" s="258">
        <f>H12</f>
        <v>0</v>
      </c>
      <c r="F33" s="246">
        <v>6</v>
      </c>
      <c r="G33" s="257">
        <f>F33*(15/60)*D33*E33</f>
        <v>0</v>
      </c>
      <c r="H33" s="246">
        <v>4</v>
      </c>
      <c r="I33" s="257">
        <f>H33*(15/60)*D33*E33</f>
        <v>0</v>
      </c>
      <c r="K33" s="670" t="s">
        <v>147</v>
      </c>
      <c r="L33" s="670"/>
      <c r="M33" s="670"/>
      <c r="N33" s="670"/>
    </row>
    <row r="34" spans="1:14" ht="30" customHeight="1">
      <c r="A34" s="94"/>
      <c r="B34" s="246" t="s">
        <v>248</v>
      </c>
      <c r="C34" s="246" t="s">
        <v>244</v>
      </c>
      <c r="D34" s="256">
        <v>6</v>
      </c>
      <c r="E34" s="258">
        <f>H12</f>
        <v>0</v>
      </c>
      <c r="F34" s="246">
        <v>8</v>
      </c>
      <c r="G34" s="257">
        <f>F34*(15/60)*D34*E34</f>
        <v>0</v>
      </c>
      <c r="H34" s="246">
        <v>6</v>
      </c>
      <c r="I34" s="257">
        <f>H34*(15/60)*D34*E34</f>
        <v>0</v>
      </c>
      <c r="J34" s="209">
        <v>1</v>
      </c>
      <c r="K34" s="570"/>
      <c r="L34" s="570"/>
      <c r="M34" s="570"/>
      <c r="N34" s="570"/>
    </row>
    <row r="35" spans="1:14" ht="36.6" customHeight="1">
      <c r="A35" s="94"/>
      <c r="B35" s="246"/>
      <c r="C35" s="246"/>
      <c r="D35" s="247"/>
      <c r="E35" s="669" t="s">
        <v>249</v>
      </c>
      <c r="F35" s="669"/>
      <c r="G35" s="259">
        <f>SUM(G29:G34)</f>
        <v>0</v>
      </c>
      <c r="H35" s="260" t="s">
        <v>250</v>
      </c>
      <c r="I35" s="259">
        <f>SUM(I29:I34)</f>
        <v>0</v>
      </c>
      <c r="J35" s="209">
        <v>2</v>
      </c>
      <c r="K35" s="570"/>
      <c r="L35" s="570"/>
      <c r="M35" s="570"/>
      <c r="N35" s="570"/>
    </row>
    <row r="36" spans="1:14" ht="30" customHeight="1">
      <c r="A36" s="94"/>
      <c r="B36" s="671" t="s">
        <v>251</v>
      </c>
      <c r="C36" s="671"/>
      <c r="D36" s="261">
        <f>(G25+G35)*365</f>
        <v>0</v>
      </c>
      <c r="E36" s="672" t="s">
        <v>252</v>
      </c>
      <c r="F36" s="672"/>
      <c r="G36" s="672"/>
      <c r="H36" s="672"/>
      <c r="I36" s="261">
        <f>(I25+I35)*365</f>
        <v>0</v>
      </c>
      <c r="J36" s="209">
        <v>3</v>
      </c>
      <c r="K36" s="670"/>
      <c r="L36" s="670"/>
      <c r="M36" s="670"/>
      <c r="N36" s="670"/>
    </row>
    <row r="37" spans="1:14" ht="30" customHeight="1">
      <c r="A37" s="94"/>
      <c r="B37" s="668" t="s">
        <v>253</v>
      </c>
      <c r="C37" s="668"/>
      <c r="D37" s="668"/>
      <c r="E37" s="262">
        <f>IFERROR((D36-I36)/D36,0)</f>
        <v>0</v>
      </c>
      <c r="F37" s="207"/>
      <c r="G37" s="207"/>
      <c r="H37" s="207"/>
      <c r="I37" s="207"/>
    </row>
    <row r="38" spans="1:14" ht="15" customHeight="1">
      <c r="B38" s="97"/>
      <c r="C38" s="97"/>
      <c r="D38" s="97"/>
      <c r="E38" s="97"/>
      <c r="K38" s="104"/>
      <c r="L38" s="104"/>
      <c r="M38" s="104"/>
      <c r="N38" s="104"/>
    </row>
    <row r="39" spans="1:14" ht="17.399999999999999" customHeight="1">
      <c r="B39" s="667" t="s">
        <v>1661</v>
      </c>
      <c r="C39" s="667"/>
      <c r="D39" s="667"/>
      <c r="E39" s="667"/>
      <c r="F39" s="667"/>
      <c r="G39" s="667"/>
      <c r="H39" s="667"/>
      <c r="I39" s="667"/>
      <c r="K39" s="104"/>
      <c r="L39" s="104"/>
      <c r="M39" s="104"/>
      <c r="N39" s="104"/>
    </row>
    <row r="40" spans="1:14" ht="17.399999999999999" customHeight="1">
      <c r="B40" s="581" t="s">
        <v>927</v>
      </c>
      <c r="C40" s="581"/>
      <c r="D40" s="581"/>
      <c r="E40" s="132"/>
      <c r="F40" s="132"/>
      <c r="G40" s="132"/>
      <c r="H40" s="132"/>
      <c r="I40" s="132"/>
      <c r="K40" s="104"/>
      <c r="L40" s="104"/>
      <c r="M40" s="104"/>
      <c r="N40" s="104"/>
    </row>
    <row r="41" spans="1:14" ht="17.399999999999999" customHeight="1">
      <c r="A41" s="114"/>
      <c r="B41" s="560" t="s">
        <v>928</v>
      </c>
      <c r="C41" s="560"/>
      <c r="D41" s="560"/>
      <c r="E41" s="560"/>
      <c r="F41" s="560"/>
      <c r="G41" s="560"/>
      <c r="H41" s="560"/>
      <c r="I41" s="101" t="s">
        <v>139</v>
      </c>
      <c r="K41" s="104"/>
      <c r="L41" s="104"/>
      <c r="M41" s="104"/>
      <c r="N41" s="104"/>
    </row>
    <row r="42" spans="1:14" ht="17.399999999999999" customHeight="1">
      <c r="A42" s="114"/>
      <c r="B42" s="560" t="s">
        <v>929</v>
      </c>
      <c r="C42" s="560"/>
      <c r="D42" s="560"/>
      <c r="E42" s="560"/>
      <c r="F42" s="560"/>
      <c r="G42" s="560"/>
      <c r="H42" s="560"/>
      <c r="I42" s="101" t="s">
        <v>139</v>
      </c>
      <c r="K42" s="97"/>
      <c r="L42" s="97"/>
      <c r="M42" s="97"/>
      <c r="N42" s="97"/>
    </row>
    <row r="43" spans="1:14" ht="17.399999999999999" customHeight="1">
      <c r="A43" s="114"/>
      <c r="B43" s="560" t="s">
        <v>930</v>
      </c>
      <c r="C43" s="560"/>
      <c r="D43" s="560"/>
      <c r="E43" s="560"/>
      <c r="F43" s="560"/>
      <c r="G43" s="560"/>
      <c r="H43" s="560"/>
      <c r="I43" s="101" t="s">
        <v>139</v>
      </c>
      <c r="K43" s="105"/>
      <c r="L43" s="105"/>
      <c r="M43" s="105"/>
      <c r="N43" s="105"/>
    </row>
    <row r="44" spans="1:14" ht="17.399999999999999" customHeight="1">
      <c r="A44" s="114"/>
      <c r="B44" s="560" t="s">
        <v>926</v>
      </c>
      <c r="C44" s="560"/>
      <c r="D44" s="560"/>
      <c r="E44" s="560"/>
      <c r="F44" s="560"/>
      <c r="G44" s="560"/>
      <c r="H44" s="560"/>
      <c r="I44" s="101" t="s">
        <v>139</v>
      </c>
    </row>
    <row r="45" spans="1:14" ht="17.399999999999999" customHeight="1">
      <c r="A45" s="114"/>
      <c r="B45" s="645" t="s">
        <v>147</v>
      </c>
      <c r="C45" s="645"/>
      <c r="D45" s="645"/>
      <c r="E45" s="645"/>
      <c r="F45" s="645"/>
      <c r="G45" s="645"/>
      <c r="H45" s="645"/>
      <c r="I45" s="101"/>
    </row>
    <row r="46" spans="1:14" ht="17.399999999999999" customHeight="1">
      <c r="A46" s="114"/>
      <c r="B46" s="560"/>
      <c r="C46" s="560"/>
      <c r="D46" s="560"/>
      <c r="E46" s="560"/>
      <c r="F46" s="560"/>
      <c r="G46" s="560"/>
      <c r="H46" s="560"/>
      <c r="I46" s="101"/>
    </row>
    <row r="47" spans="1:14" ht="17.399999999999999" customHeight="1">
      <c r="A47" s="114"/>
      <c r="B47" s="560"/>
      <c r="C47" s="560"/>
      <c r="D47" s="560"/>
      <c r="E47" s="560"/>
      <c r="F47" s="560"/>
      <c r="G47" s="560"/>
      <c r="H47" s="560"/>
      <c r="I47" s="101"/>
    </row>
    <row r="48" spans="1:14" ht="17.399999999999999" customHeight="1">
      <c r="A48" s="114"/>
      <c r="B48" s="560"/>
      <c r="C48" s="560"/>
      <c r="D48" s="560"/>
      <c r="E48" s="560"/>
      <c r="F48" s="560"/>
      <c r="G48" s="560"/>
      <c r="H48" s="560"/>
      <c r="I48" s="101"/>
    </row>
    <row r="49" spans="2:5" ht="18" customHeight="1">
      <c r="B49" s="97"/>
      <c r="C49" s="97"/>
      <c r="D49" s="97"/>
      <c r="E49" s="97"/>
    </row>
    <row r="50" spans="2:5">
      <c r="B50" s="531"/>
      <c r="C50" s="531"/>
      <c r="D50" s="531"/>
      <c r="E50" s="531"/>
    </row>
  </sheetData>
  <sheetProtection sheet="1" objects="1" scenarios="1"/>
  <mergeCells count="108">
    <mergeCell ref="K35:N35"/>
    <mergeCell ref="J2:K2"/>
    <mergeCell ref="L10:M11"/>
    <mergeCell ref="L12:M12"/>
    <mergeCell ref="N10:O11"/>
    <mergeCell ref="K9:O9"/>
    <mergeCell ref="K5:O5"/>
    <mergeCell ref="M4:O4"/>
    <mergeCell ref="K24:M24"/>
    <mergeCell ref="L26:M26"/>
    <mergeCell ref="L19:M19"/>
    <mergeCell ref="L20:M20"/>
    <mergeCell ref="N19:O19"/>
    <mergeCell ref="N20:O20"/>
    <mergeCell ref="N21:O21"/>
    <mergeCell ref="N22:O22"/>
    <mergeCell ref="N23:O23"/>
    <mergeCell ref="M2:O2"/>
    <mergeCell ref="N12:O12"/>
    <mergeCell ref="N13:O13"/>
    <mergeCell ref="N14:O14"/>
    <mergeCell ref="N15:O15"/>
    <mergeCell ref="N16:O16"/>
    <mergeCell ref="N17:O17"/>
    <mergeCell ref="K33:N33"/>
    <mergeCell ref="L27:M27"/>
    <mergeCell ref="B27:B28"/>
    <mergeCell ref="C27:C28"/>
    <mergeCell ref="D27:D28"/>
    <mergeCell ref="E27:E28"/>
    <mergeCell ref="F27:G27"/>
    <mergeCell ref="H27:I27"/>
    <mergeCell ref="K34:N34"/>
    <mergeCell ref="C12:D12"/>
    <mergeCell ref="E12:G12"/>
    <mergeCell ref="H12:I12"/>
    <mergeCell ref="C13:D13"/>
    <mergeCell ref="E13:G13"/>
    <mergeCell ref="H13:I13"/>
    <mergeCell ref="K29:O29"/>
    <mergeCell ref="L28:M28"/>
    <mergeCell ref="N27:O27"/>
    <mergeCell ref="N28:O28"/>
    <mergeCell ref="B26:C26"/>
    <mergeCell ref="N24:O24"/>
    <mergeCell ref="N25:O25"/>
    <mergeCell ref="N26:O26"/>
    <mergeCell ref="N18:O18"/>
    <mergeCell ref="B50:E50"/>
    <mergeCell ref="B44:H44"/>
    <mergeCell ref="B45:H45"/>
    <mergeCell ref="B46:H46"/>
    <mergeCell ref="B47:H47"/>
    <mergeCell ref="B48:H48"/>
    <mergeCell ref="L21:M21"/>
    <mergeCell ref="L22:M22"/>
    <mergeCell ref="L23:M23"/>
    <mergeCell ref="L25:M25"/>
    <mergeCell ref="E25:F25"/>
    <mergeCell ref="B43:H43"/>
    <mergeCell ref="B42:H42"/>
    <mergeCell ref="B39:I39"/>
    <mergeCell ref="B41:H41"/>
    <mergeCell ref="B40:D40"/>
    <mergeCell ref="B37:D37"/>
    <mergeCell ref="E35:F35"/>
    <mergeCell ref="K36:N36"/>
    <mergeCell ref="K30:N30"/>
    <mergeCell ref="B36:C36"/>
    <mergeCell ref="E36:H36"/>
    <mergeCell ref="K31:N31"/>
    <mergeCell ref="K32:N32"/>
    <mergeCell ref="A17:A18"/>
    <mergeCell ref="B15:G15"/>
    <mergeCell ref="H15:I15"/>
    <mergeCell ref="C14:D14"/>
    <mergeCell ref="E14:G14"/>
    <mergeCell ref="H14:I14"/>
    <mergeCell ref="H17:I17"/>
    <mergeCell ref="B17:B18"/>
    <mergeCell ref="C17:C18"/>
    <mergeCell ref="D17:D18"/>
    <mergeCell ref="F17:G17"/>
    <mergeCell ref="B16:C16"/>
    <mergeCell ref="B3:I3"/>
    <mergeCell ref="B9:I9"/>
    <mergeCell ref="H8:I8"/>
    <mergeCell ref="B5:I5"/>
    <mergeCell ref="C4:L4"/>
    <mergeCell ref="J3:O3"/>
    <mergeCell ref="K10:K11"/>
    <mergeCell ref="E17:E18"/>
    <mergeCell ref="L13:M13"/>
    <mergeCell ref="L14:M14"/>
    <mergeCell ref="L15:M15"/>
    <mergeCell ref="L16:M16"/>
    <mergeCell ref="L17:M17"/>
    <mergeCell ref="L18:M18"/>
    <mergeCell ref="B6:E6"/>
    <mergeCell ref="K6:O6"/>
    <mergeCell ref="F6:I6"/>
    <mergeCell ref="B7:O7"/>
    <mergeCell ref="K8:L8"/>
    <mergeCell ref="B10:I10"/>
    <mergeCell ref="B8:C8"/>
    <mergeCell ref="C11:D11"/>
    <mergeCell ref="E11:G11"/>
    <mergeCell ref="H11:I11"/>
  </mergeCells>
  <conditionalFormatting sqref="J3">
    <cfRule type="expression" dxfId="112" priority="3">
      <formula>$J$3="PENDING"</formula>
    </cfRule>
    <cfRule type="expression" dxfId="111" priority="4">
      <formula>$J$3="COMPLIANT"</formula>
    </cfRule>
  </conditionalFormatting>
  <conditionalFormatting sqref="B9:I37">
    <cfRule type="expression" dxfId="110" priority="2">
      <formula>$H$8&lt;&gt;"☑"</formula>
    </cfRule>
  </conditionalFormatting>
  <conditionalFormatting sqref="K9:O27">
    <cfRule type="expression" dxfId="109" priority="1">
      <formula>$O$8&lt;&gt;"☑"</formula>
    </cfRule>
  </conditionalFormatting>
  <dataValidations count="2">
    <dataValidation type="list" sqref="I41:I48 A1 N8:O8 H8 I26 I16 O31:O32" xr:uid="{00000000-0002-0000-0A00-000000000000}">
      <formula1>"☐,☑"</formula1>
    </dataValidation>
    <dataValidation sqref="E37" xr:uid="{A4DB77CC-AF12-42B9-962A-D9EE5F8A19D6}"/>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E89"/>
  <sheetViews>
    <sheetView zoomScaleNormal="100" workbookViewId="0">
      <selection activeCell="E15" sqref="E15"/>
    </sheetView>
  </sheetViews>
  <sheetFormatPr defaultRowHeight="13.8"/>
  <cols>
    <col min="1" max="1" width="6" style="93" customWidth="1"/>
    <col min="2" max="2" width="39" style="93" customWidth="1"/>
    <col min="3" max="3" width="17.5" style="93" customWidth="1"/>
    <col min="4" max="4" width="19.796875" style="93" customWidth="1"/>
    <col min="5" max="5" width="18" style="93" customWidth="1"/>
    <col min="6" max="16384" width="8.796875" style="93"/>
  </cols>
  <sheetData>
    <row r="1" spans="1:5" ht="21.6" customHeight="1">
      <c r="A1" s="91" t="s">
        <v>134</v>
      </c>
      <c r="B1" s="92" t="s">
        <v>163</v>
      </c>
      <c r="C1" s="278">
        <f>MAX(E14,E66)</f>
        <v>0</v>
      </c>
      <c r="D1" s="92" t="s">
        <v>259</v>
      </c>
      <c r="E1" s="92">
        <f>IF('Project Info'!$C$8="New Hotel",3,3)</f>
        <v>3</v>
      </c>
    </row>
    <row r="2" spans="1:5" ht="42">
      <c r="A2" s="94"/>
      <c r="B2" s="95" t="s">
        <v>28</v>
      </c>
      <c r="C2" s="95"/>
      <c r="D2" s="95"/>
      <c r="E2" s="138" t="s">
        <v>260</v>
      </c>
    </row>
    <row r="3" spans="1:5" ht="15.6">
      <c r="A3" s="94"/>
      <c r="B3" s="96" t="s">
        <v>5</v>
      </c>
      <c r="C3" s="97"/>
      <c r="D3" s="97"/>
      <c r="E3" s="97" t="str">
        <f>HYPERLINK("#'Checklist'!A1","Go To Checklist")</f>
        <v>Go To Checklist</v>
      </c>
    </row>
    <row r="4" spans="1:5" ht="50.4" customHeight="1">
      <c r="A4" s="94"/>
      <c r="B4" s="565" t="s">
        <v>710</v>
      </c>
      <c r="C4" s="565"/>
      <c r="D4" s="565"/>
      <c r="E4" s="565"/>
    </row>
    <row r="5" spans="1:5" ht="21" customHeight="1">
      <c r="A5" s="94"/>
      <c r="B5" s="689" t="s">
        <v>208</v>
      </c>
      <c r="C5" s="690"/>
      <c r="D5" s="690"/>
      <c r="E5" s="690"/>
    </row>
    <row r="6" spans="1:5" ht="31.8" customHeight="1">
      <c r="A6" s="94"/>
      <c r="B6" s="688" t="s">
        <v>505</v>
      </c>
      <c r="C6" s="688"/>
      <c r="D6" s="688"/>
      <c r="E6" s="264" t="s">
        <v>139</v>
      </c>
    </row>
    <row r="7" spans="1:5" ht="18.600000000000001" customHeight="1">
      <c r="A7" s="94"/>
      <c r="B7" s="687" t="s">
        <v>497</v>
      </c>
      <c r="C7" s="687"/>
      <c r="D7" s="687"/>
      <c r="E7" s="687"/>
    </row>
    <row r="8" spans="1:5" ht="17.399999999999999" customHeight="1">
      <c r="A8" s="94"/>
      <c r="B8" s="691" t="s">
        <v>229</v>
      </c>
      <c r="C8" s="691"/>
      <c r="D8" s="691"/>
      <c r="E8" s="279">
        <f>'WC MR 1'!E48</f>
        <v>22.8</v>
      </c>
    </row>
    <row r="9" spans="1:5" ht="17.399999999999999" customHeight="1">
      <c r="A9" s="94"/>
      <c r="B9" s="623" t="s">
        <v>504</v>
      </c>
      <c r="C9" s="623"/>
      <c r="D9" s="623"/>
      <c r="E9" s="279">
        <f>'WC MR 1'!E51</f>
        <v>25</v>
      </c>
    </row>
    <row r="10" spans="1:5" ht="17.399999999999999" customHeight="1">
      <c r="A10" s="94"/>
      <c r="B10" s="695" t="s">
        <v>220</v>
      </c>
      <c r="C10" s="695"/>
      <c r="D10" s="695"/>
      <c r="E10" s="279">
        <f>'WC MR 1'!F38</f>
        <v>300</v>
      </c>
    </row>
    <row r="11" spans="1:5" ht="17.399999999999999" customHeight="1">
      <c r="A11" s="94"/>
      <c r="B11" s="695" t="s">
        <v>507</v>
      </c>
      <c r="C11" s="695"/>
      <c r="D11" s="695"/>
      <c r="E11" s="279">
        <f>'WC MR 1'!F29</f>
        <v>950</v>
      </c>
    </row>
    <row r="12" spans="1:5" ht="17.399999999999999" customHeight="1">
      <c r="A12" s="94"/>
      <c r="B12" s="695" t="s">
        <v>276</v>
      </c>
      <c r="C12" s="695"/>
      <c r="D12" s="695"/>
      <c r="E12" s="280">
        <f>(E9*1000)/(E11)</f>
        <v>26.315789473684209</v>
      </c>
    </row>
    <row r="13" spans="1:5" ht="17.399999999999999" customHeight="1">
      <c r="A13" s="94"/>
      <c r="B13" s="695" t="s">
        <v>498</v>
      </c>
      <c r="C13" s="695"/>
      <c r="D13" s="695"/>
      <c r="E13" s="281">
        <f>IFERROR(E12/E10,0)</f>
        <v>8.771929824561403E-2</v>
      </c>
    </row>
    <row r="14" spans="1:5" ht="17.399999999999999" customHeight="1">
      <c r="A14" s="94"/>
      <c r="B14" s="693" t="s">
        <v>261</v>
      </c>
      <c r="C14" s="693"/>
      <c r="D14" s="693"/>
      <c r="E14" s="282">
        <f>IF(OR(E10&lt;=0,E13&lt;=0),0,IF(E10&lt;=250,IF(E13&gt;=18%,3,IF(E13&gt;=15%,2,IF(E13&gt;=12%,1,0))),IF(E10&lt;=350,IF(E13&gt;=15%,3,IF(E13&gt;=12.5%,2,IF(E13&gt;=10%,1,0))),IF(E10&lt;=500,IF(E13&gt;=12%,3,IF(E13&gt;=10%,2,IF(E13&gt;=8%,1,0))),IF(E10&lt;=700,IF(E13&gt;=9%,3,IF(E13&gt;=7.5%,2,IF(E13&gt;=6%,1,0))),IF(E13&gt;=6%,3,IF(E13&gt;=5%,2,IF(E13&gt;=4%,1,0))))))))</f>
        <v>0</v>
      </c>
    </row>
    <row r="15" spans="1:5" ht="32.4" customHeight="1">
      <c r="A15" s="94"/>
      <c r="B15" s="692" t="s">
        <v>506</v>
      </c>
      <c r="C15" s="692"/>
      <c r="D15" s="692"/>
      <c r="E15" s="266" t="s">
        <v>139</v>
      </c>
    </row>
    <row r="16" spans="1:5" ht="31.2" customHeight="1">
      <c r="A16" s="94"/>
      <c r="B16" s="267" t="s">
        <v>209</v>
      </c>
      <c r="C16" s="156" t="s">
        <v>210</v>
      </c>
      <c r="D16" s="156" t="s">
        <v>211</v>
      </c>
      <c r="E16" s="157" t="s">
        <v>212</v>
      </c>
    </row>
    <row r="17" spans="1:5">
      <c r="A17" s="94"/>
      <c r="B17" s="174" t="s">
        <v>720</v>
      </c>
      <c r="C17" s="189">
        <v>0.95</v>
      </c>
      <c r="D17" s="149">
        <v>1000</v>
      </c>
      <c r="E17" s="189">
        <f t="shared" ref="E17:E35" si="0">C17*D17</f>
        <v>950</v>
      </c>
    </row>
    <row r="18" spans="1:5">
      <c r="A18" s="94"/>
      <c r="B18" s="174" t="s">
        <v>721</v>
      </c>
      <c r="C18" s="188">
        <v>0.5</v>
      </c>
      <c r="D18" s="143"/>
      <c r="E18" s="189">
        <f t="shared" si="0"/>
        <v>0</v>
      </c>
    </row>
    <row r="19" spans="1:5">
      <c r="A19" s="94"/>
      <c r="B19" s="174" t="s">
        <v>722</v>
      </c>
      <c r="C19" s="188">
        <v>0.3</v>
      </c>
      <c r="D19" s="143"/>
      <c r="E19" s="189">
        <f t="shared" si="0"/>
        <v>0</v>
      </c>
    </row>
    <row r="20" spans="1:5">
      <c r="A20" s="94"/>
      <c r="B20" s="174" t="s">
        <v>723</v>
      </c>
      <c r="C20" s="188">
        <v>0.2</v>
      </c>
      <c r="D20" s="143"/>
      <c r="E20" s="189">
        <f t="shared" si="0"/>
        <v>0</v>
      </c>
    </row>
    <row r="21" spans="1:5">
      <c r="A21" s="94"/>
      <c r="B21" s="174" t="s">
        <v>724</v>
      </c>
      <c r="C21" s="188">
        <v>0.1</v>
      </c>
      <c r="D21" s="143"/>
      <c r="E21" s="189">
        <f t="shared" si="0"/>
        <v>0</v>
      </c>
    </row>
    <row r="22" spans="1:5">
      <c r="A22" s="94"/>
      <c r="B22" s="174" t="s">
        <v>725</v>
      </c>
      <c r="C22" s="188">
        <v>0.25</v>
      </c>
      <c r="D22" s="143"/>
      <c r="E22" s="189">
        <f t="shared" si="0"/>
        <v>0</v>
      </c>
    </row>
    <row r="23" spans="1:5">
      <c r="A23" s="94"/>
      <c r="B23" s="174" t="s">
        <v>726</v>
      </c>
      <c r="C23" s="188">
        <v>0.35</v>
      </c>
      <c r="D23" s="143"/>
      <c r="E23" s="189">
        <f t="shared" si="0"/>
        <v>0</v>
      </c>
    </row>
    <row r="24" spans="1:5" ht="14.4" customHeight="1">
      <c r="A24" s="94"/>
      <c r="B24" s="174" t="s">
        <v>727</v>
      </c>
      <c r="C24" s="188">
        <v>0.4</v>
      </c>
      <c r="D24" s="143"/>
      <c r="E24" s="189">
        <f t="shared" si="0"/>
        <v>0</v>
      </c>
    </row>
    <row r="25" spans="1:5">
      <c r="A25" s="94"/>
      <c r="B25" s="174" t="s">
        <v>728</v>
      </c>
      <c r="C25" s="188">
        <v>0.45</v>
      </c>
      <c r="D25" s="143"/>
      <c r="E25" s="189">
        <f t="shared" si="0"/>
        <v>0</v>
      </c>
    </row>
    <row r="26" spans="1:5">
      <c r="A26" s="94"/>
      <c r="B26" s="174" t="s">
        <v>729</v>
      </c>
      <c r="C26" s="188">
        <v>0.1</v>
      </c>
      <c r="D26" s="143"/>
      <c r="E26" s="189">
        <f t="shared" si="0"/>
        <v>0</v>
      </c>
    </row>
    <row r="27" spans="1:5">
      <c r="A27" s="94"/>
      <c r="B27" s="174" t="s">
        <v>730</v>
      </c>
      <c r="C27" s="188">
        <v>0.2</v>
      </c>
      <c r="D27" s="143"/>
      <c r="E27" s="189">
        <f t="shared" si="0"/>
        <v>0</v>
      </c>
    </row>
    <row r="28" spans="1:5">
      <c r="A28" s="94"/>
      <c r="B28" s="174" t="s">
        <v>731</v>
      </c>
      <c r="C28" s="188">
        <v>0.25</v>
      </c>
      <c r="D28" s="143"/>
      <c r="E28" s="189">
        <f t="shared" si="0"/>
        <v>0</v>
      </c>
    </row>
    <row r="29" spans="1:5">
      <c r="A29" s="94"/>
      <c r="B29" s="174" t="s">
        <v>732</v>
      </c>
      <c r="C29" s="188">
        <v>0.3</v>
      </c>
      <c r="D29" s="143"/>
      <c r="E29" s="189">
        <f t="shared" si="0"/>
        <v>0</v>
      </c>
    </row>
    <row r="30" spans="1:5" ht="18" customHeight="1">
      <c r="A30" s="94"/>
      <c r="B30" s="174" t="s">
        <v>733</v>
      </c>
      <c r="C30" s="188">
        <v>0.95</v>
      </c>
      <c r="D30" s="143"/>
      <c r="E30" s="189">
        <f t="shared" si="0"/>
        <v>0</v>
      </c>
    </row>
    <row r="31" spans="1:5" ht="17.399999999999999" customHeight="1">
      <c r="A31" s="94"/>
      <c r="B31" s="174" t="s">
        <v>734</v>
      </c>
      <c r="C31" s="188">
        <v>0.75</v>
      </c>
      <c r="D31" s="143"/>
      <c r="E31" s="189">
        <f t="shared" si="0"/>
        <v>0</v>
      </c>
    </row>
    <row r="32" spans="1:5" ht="17.399999999999999" customHeight="1">
      <c r="A32" s="94"/>
      <c r="B32" s="174" t="s">
        <v>735</v>
      </c>
      <c r="C32" s="188">
        <v>0.75</v>
      </c>
      <c r="D32" s="143"/>
      <c r="E32" s="189">
        <f t="shared" si="0"/>
        <v>0</v>
      </c>
    </row>
    <row r="33" spans="1:5">
      <c r="A33" s="94"/>
      <c r="B33" s="174" t="s">
        <v>736</v>
      </c>
      <c r="C33" s="188">
        <v>0.5</v>
      </c>
      <c r="D33" s="143"/>
      <c r="E33" s="189">
        <f t="shared" si="0"/>
        <v>0</v>
      </c>
    </row>
    <row r="34" spans="1:5">
      <c r="A34" s="94"/>
      <c r="B34" s="174" t="s">
        <v>737</v>
      </c>
      <c r="C34" s="188">
        <v>0.95</v>
      </c>
      <c r="D34" s="143"/>
      <c r="E34" s="189">
        <f t="shared" si="0"/>
        <v>0</v>
      </c>
    </row>
    <row r="35" spans="1:5">
      <c r="A35" s="94"/>
      <c r="B35" s="174" t="s">
        <v>738</v>
      </c>
      <c r="C35" s="188">
        <v>0</v>
      </c>
      <c r="D35" s="143"/>
      <c r="E35" s="189">
        <f t="shared" si="0"/>
        <v>0</v>
      </c>
    </row>
    <row r="36" spans="1:5">
      <c r="A36" s="94"/>
      <c r="B36" s="643" t="s">
        <v>213</v>
      </c>
      <c r="C36" s="643"/>
      <c r="D36" s="33">
        <f>SUM(D17:D35)</f>
        <v>1000</v>
      </c>
      <c r="E36" s="33">
        <f>SUM(E17:E35)</f>
        <v>950</v>
      </c>
    </row>
    <row r="37" spans="1:5" ht="36.6" customHeight="1">
      <c r="A37" s="94"/>
      <c r="B37" s="212"/>
      <c r="C37" s="212"/>
      <c r="D37" s="12" t="str">
        <f>IFERROR(IF(SUM(D17:D35)='Project Info'!$C$17,"","Area Mismatch with Total Site Area"),"")</f>
        <v>Area Mismatch with Total Site Area</v>
      </c>
      <c r="E37" s="100"/>
    </row>
    <row r="38" spans="1:5" ht="17.399999999999999" customHeight="1">
      <c r="A38" s="94"/>
      <c r="B38" s="644" t="s">
        <v>214</v>
      </c>
      <c r="C38" s="644"/>
      <c r="D38" s="644"/>
      <c r="E38" s="644"/>
    </row>
    <row r="39" spans="1:5" ht="17.399999999999999" customHeight="1">
      <c r="B39" s="213" t="s">
        <v>215</v>
      </c>
      <c r="C39" s="199" t="s">
        <v>216</v>
      </c>
      <c r="D39" s="214" t="s">
        <v>217</v>
      </c>
      <c r="E39" s="214" t="s">
        <v>218</v>
      </c>
    </row>
    <row r="40" spans="1:5" ht="17.399999999999999">
      <c r="B40" s="215"/>
      <c r="C40" s="226">
        <v>2025</v>
      </c>
      <c r="D40" s="215" t="s">
        <v>515</v>
      </c>
      <c r="E40" s="216">
        <v>500</v>
      </c>
    </row>
    <row r="41" spans="1:5" ht="17.399999999999999">
      <c r="B41" s="215"/>
      <c r="C41" s="226">
        <v>2026</v>
      </c>
      <c r="D41" s="215" t="s">
        <v>516</v>
      </c>
      <c r="E41" s="216">
        <v>300</v>
      </c>
    </row>
    <row r="42" spans="1:5" ht="17.399999999999999">
      <c r="B42" s="215"/>
      <c r="C42" s="226">
        <v>2027</v>
      </c>
      <c r="D42" s="215" t="s">
        <v>517</v>
      </c>
      <c r="E42" s="216">
        <v>200</v>
      </c>
    </row>
    <row r="43" spans="1:5" ht="17.399999999999999">
      <c r="B43" s="215"/>
      <c r="C43" s="226">
        <v>2028</v>
      </c>
      <c r="D43" s="215" t="s">
        <v>518</v>
      </c>
      <c r="E43" s="216">
        <v>200</v>
      </c>
    </row>
    <row r="44" spans="1:5" ht="17.399999999999999">
      <c r="B44" s="215"/>
      <c r="C44" s="226">
        <v>2029</v>
      </c>
      <c r="D44" s="215" t="s">
        <v>519</v>
      </c>
      <c r="E44" s="216">
        <v>300</v>
      </c>
    </row>
    <row r="45" spans="1:5" ht="17.399999999999999" customHeight="1">
      <c r="B45" s="696" t="s">
        <v>219</v>
      </c>
      <c r="C45" s="696"/>
      <c r="D45" s="696"/>
      <c r="E45" s="37">
        <f>SUM(E40:E44)/5</f>
        <v>300</v>
      </c>
    </row>
    <row r="46" spans="1:5" ht="67.2" customHeight="1">
      <c r="B46" s="697" t="s">
        <v>990</v>
      </c>
      <c r="C46" s="697"/>
      <c r="D46" s="648"/>
      <c r="E46" s="648"/>
    </row>
    <row r="47" spans="1:5" ht="27.6">
      <c r="B47" s="156" t="s">
        <v>220</v>
      </c>
      <c r="C47" s="268" t="s">
        <v>134</v>
      </c>
      <c r="D47" s="156" t="s">
        <v>221</v>
      </c>
      <c r="E47" s="156" t="s">
        <v>222</v>
      </c>
    </row>
    <row r="48" spans="1:5" ht="17.399999999999999">
      <c r="B48" s="269" t="s">
        <v>223</v>
      </c>
      <c r="C48" s="90" t="s">
        <v>139</v>
      </c>
      <c r="D48" s="283" t="str">
        <f>IF(C48="☑","9%","")</f>
        <v/>
      </c>
      <c r="E48" s="284">
        <f>IF(AND(E45&gt;0,E45&lt;=250),E45*D48,0)</f>
        <v>0</v>
      </c>
    </row>
    <row r="49" spans="2:5" ht="17.399999999999999">
      <c r="B49" s="270" t="s">
        <v>224</v>
      </c>
      <c r="C49" s="90" t="s">
        <v>134</v>
      </c>
      <c r="D49" s="285" t="str">
        <f>IF(C49="☑","8%","")</f>
        <v>8%</v>
      </c>
      <c r="E49" s="284">
        <f>IF(AND(E45&gt;250,E45&lt;=350),E45*D49,0)</f>
        <v>24</v>
      </c>
    </row>
    <row r="50" spans="2:5" ht="17.399999999999999">
      <c r="B50" s="270" t="s">
        <v>225</v>
      </c>
      <c r="C50" s="90" t="s">
        <v>139</v>
      </c>
      <c r="D50" s="285" t="str">
        <f>IF(C50="☑","6%","")</f>
        <v/>
      </c>
      <c r="E50" s="284">
        <f>IF(AND(E45&gt;350,E45&lt;=500),E45*D50,0)</f>
        <v>0</v>
      </c>
    </row>
    <row r="51" spans="2:5" ht="17.399999999999999">
      <c r="B51" s="270" t="s">
        <v>226</v>
      </c>
      <c r="C51" s="286" t="s">
        <v>139</v>
      </c>
      <c r="D51" s="285" t="str">
        <f>IF(C51="☑","5%","")</f>
        <v/>
      </c>
      <c r="E51" s="284">
        <f>IF(AND(E45&gt;500,E45&lt;=700),E45*D51,0)</f>
        <v>0</v>
      </c>
    </row>
    <row r="52" spans="2:5" ht="17.399999999999999">
      <c r="B52" s="270" t="s">
        <v>227</v>
      </c>
      <c r="C52" s="90" t="s">
        <v>139</v>
      </c>
      <c r="D52" s="285" t="str">
        <f>IF(C52="☑","3%","")</f>
        <v/>
      </c>
      <c r="E52" s="284">
        <f>IF(E45&gt;700,E45*D52,0)</f>
        <v>0</v>
      </c>
    </row>
    <row r="53" spans="2:5" ht="15.6">
      <c r="B53" s="698" t="s">
        <v>228</v>
      </c>
      <c r="C53" s="698"/>
      <c r="D53" s="698"/>
      <c r="E53" s="287">
        <f>MAX(E48:E52)</f>
        <v>24</v>
      </c>
    </row>
    <row r="54" spans="2:5" ht="14.4" thickBot="1">
      <c r="B54" s="644" t="s">
        <v>277</v>
      </c>
      <c r="C54" s="644"/>
      <c r="D54" s="644"/>
      <c r="E54" s="644"/>
    </row>
    <row r="55" spans="2:5" ht="14.4" thickBot="1">
      <c r="B55" s="570" t="s">
        <v>503</v>
      </c>
      <c r="C55" s="570"/>
      <c r="D55" s="570"/>
      <c r="E55" s="225">
        <f>(E36*E53)/1000</f>
        <v>22.8</v>
      </c>
    </row>
    <row r="56" spans="2:5">
      <c r="B56" s="570" t="s">
        <v>1407</v>
      </c>
      <c r="C56" s="570"/>
      <c r="D56" s="570"/>
      <c r="E56" s="124"/>
    </row>
    <row r="57" spans="2:5" ht="14.4" thickBot="1">
      <c r="B57" s="560" t="s">
        <v>1018</v>
      </c>
      <c r="C57" s="560"/>
      <c r="D57" s="560"/>
      <c r="E57" s="124">
        <v>5</v>
      </c>
    </row>
    <row r="58" spans="2:5" ht="14.4" thickBot="1">
      <c r="B58" s="650" t="s">
        <v>1019</v>
      </c>
      <c r="C58" s="650"/>
      <c r="D58" s="650"/>
      <c r="E58" s="225">
        <f>SUM(E56:E57)</f>
        <v>5</v>
      </c>
    </row>
    <row r="59" spans="2:5">
      <c r="B59" s="687" t="s">
        <v>497</v>
      </c>
      <c r="C59" s="687"/>
      <c r="D59" s="687"/>
      <c r="E59" s="687"/>
    </row>
    <row r="60" spans="2:5" ht="15.6">
      <c r="B60" s="694" t="s">
        <v>229</v>
      </c>
      <c r="C60" s="694"/>
      <c r="D60" s="694"/>
      <c r="E60" s="288">
        <f>E55</f>
        <v>22.8</v>
      </c>
    </row>
    <row r="61" spans="2:5" ht="15.6">
      <c r="B61" s="573" t="s">
        <v>504</v>
      </c>
      <c r="C61" s="573"/>
      <c r="D61" s="573"/>
      <c r="E61" s="288">
        <f>E58</f>
        <v>5</v>
      </c>
    </row>
    <row r="62" spans="2:5" ht="15.6">
      <c r="B62" s="536" t="s">
        <v>220</v>
      </c>
      <c r="C62" s="536"/>
      <c r="D62" s="536"/>
      <c r="E62" s="288">
        <f>E45</f>
        <v>300</v>
      </c>
    </row>
    <row r="63" spans="2:5" ht="16.2">
      <c r="B63" s="536" t="s">
        <v>507</v>
      </c>
      <c r="C63" s="536"/>
      <c r="D63" s="536"/>
      <c r="E63" s="288">
        <f>E36</f>
        <v>950</v>
      </c>
    </row>
    <row r="64" spans="2:5" ht="15.6">
      <c r="B64" s="536" t="s">
        <v>276</v>
      </c>
      <c r="C64" s="536"/>
      <c r="D64" s="536"/>
      <c r="E64" s="289">
        <f>(E61*1000)/(E63)</f>
        <v>5.2631578947368425</v>
      </c>
    </row>
    <row r="65" spans="1:5" ht="15.6">
      <c r="B65" s="536" t="s">
        <v>498</v>
      </c>
      <c r="C65" s="536"/>
      <c r="D65" s="536"/>
      <c r="E65" s="290">
        <f>IFERROR(E64/E62,0)</f>
        <v>1.754385964912281E-2</v>
      </c>
    </row>
    <row r="66" spans="1:5" ht="17.399999999999999">
      <c r="B66" s="693" t="s">
        <v>261</v>
      </c>
      <c r="C66" s="693"/>
      <c r="D66" s="693"/>
      <c r="E66" s="282">
        <f>IF(OR(E62&lt;=0,E65&lt;=0),0,IF(E62&lt;=250,IF(E65&gt;=18%,3,IF(E65&gt;=15%,2,IF(E65&gt;=12%,1,0))),IF(E62&lt;=350,IF(E65&gt;=15%,3,IF(E65&gt;=12.5%,2,IF(E65&gt;=10%,1,0))),IF(E62&lt;=500,IF(E65&gt;=12%,3,IF(E65&gt;=10%,2,IF(E65&gt;=8%,1,0))),IF(E62&lt;=700,IF(E65&gt;=9%,3,IF(E65&gt;=7.5%,2,IF(E65&gt;=6%,1,0))),IF(E65&gt;=6%,3,IF(E65&gt;=5%,2,IF(E65&gt;=4%,1,0))))))))</f>
        <v>0</v>
      </c>
    </row>
    <row r="67" spans="1:5" ht="17.399999999999999">
      <c r="B67" s="271"/>
      <c r="C67" s="271"/>
      <c r="D67" s="271"/>
      <c r="E67" s="272"/>
    </row>
    <row r="68" spans="1:5">
      <c r="B68" s="273" t="s">
        <v>496</v>
      </c>
      <c r="C68" s="274" t="s">
        <v>262</v>
      </c>
      <c r="D68" s="274" t="s">
        <v>263</v>
      </c>
      <c r="E68" s="274" t="s">
        <v>264</v>
      </c>
    </row>
    <row r="69" spans="1:5">
      <c r="B69" s="143" t="s">
        <v>223</v>
      </c>
      <c r="C69" s="143" t="s">
        <v>265</v>
      </c>
      <c r="D69" s="143" t="s">
        <v>266</v>
      </c>
      <c r="E69" s="143" t="s">
        <v>267</v>
      </c>
    </row>
    <row r="70" spans="1:5">
      <c r="B70" s="143" t="s">
        <v>224</v>
      </c>
      <c r="C70" s="143" t="s">
        <v>268</v>
      </c>
      <c r="D70" s="143" t="s">
        <v>269</v>
      </c>
      <c r="E70" s="143" t="s">
        <v>266</v>
      </c>
    </row>
    <row r="71" spans="1:5">
      <c r="B71" s="143" t="s">
        <v>225</v>
      </c>
      <c r="C71" s="143" t="s">
        <v>270</v>
      </c>
      <c r="D71" s="143" t="s">
        <v>268</v>
      </c>
      <c r="E71" s="143" t="s">
        <v>265</v>
      </c>
    </row>
    <row r="72" spans="1:5">
      <c r="B72" s="143" t="s">
        <v>226</v>
      </c>
      <c r="C72" s="143" t="s">
        <v>271</v>
      </c>
      <c r="D72" s="143" t="s">
        <v>272</v>
      </c>
      <c r="E72" s="143" t="s">
        <v>273</v>
      </c>
    </row>
    <row r="73" spans="1:5">
      <c r="B73" s="143" t="s">
        <v>227</v>
      </c>
      <c r="C73" s="143" t="s">
        <v>274</v>
      </c>
      <c r="D73" s="143" t="s">
        <v>275</v>
      </c>
      <c r="E73" s="143" t="s">
        <v>271</v>
      </c>
    </row>
    <row r="74" spans="1:5">
      <c r="B74" s="539" t="s">
        <v>28</v>
      </c>
      <c r="C74" s="539"/>
      <c r="D74" s="275" t="s">
        <v>189</v>
      </c>
      <c r="E74" s="276">
        <f>C1</f>
        <v>0</v>
      </c>
    </row>
    <row r="75" spans="1:5">
      <c r="B75" s="538"/>
      <c r="C75" s="538"/>
      <c r="D75" s="538"/>
      <c r="E75" s="538"/>
    </row>
    <row r="76" spans="1:5" ht="27.6" customHeight="1">
      <c r="B76" s="537" t="s">
        <v>1661</v>
      </c>
      <c r="C76" s="537"/>
      <c r="D76" s="537"/>
      <c r="E76" s="537"/>
    </row>
    <row r="77" spans="1:5" ht="13.8" customHeight="1">
      <c r="B77" s="92" t="s">
        <v>932</v>
      </c>
      <c r="C77" s="92"/>
      <c r="D77" s="92"/>
      <c r="E77" s="92"/>
    </row>
    <row r="78" spans="1:5" ht="43.2" customHeight="1">
      <c r="A78" s="103"/>
      <c r="B78" s="538" t="s">
        <v>920</v>
      </c>
      <c r="C78" s="538"/>
      <c r="D78" s="538"/>
      <c r="E78" s="101" t="s">
        <v>139</v>
      </c>
    </row>
    <row r="79" spans="1:5" ht="31.2" customHeight="1">
      <c r="A79" s="103"/>
      <c r="B79" s="538" t="s">
        <v>922</v>
      </c>
      <c r="C79" s="538"/>
      <c r="D79" s="538"/>
      <c r="E79" s="101" t="s">
        <v>139</v>
      </c>
    </row>
    <row r="80" spans="1:5" ht="17.399999999999999" customHeight="1">
      <c r="A80" s="103"/>
      <c r="B80" s="538" t="s">
        <v>923</v>
      </c>
      <c r="C80" s="538"/>
      <c r="D80" s="538"/>
      <c r="E80" s="101" t="s">
        <v>139</v>
      </c>
    </row>
    <row r="81" spans="1:5" ht="17.399999999999999" customHeight="1">
      <c r="A81" s="114"/>
      <c r="B81" s="92" t="s">
        <v>935</v>
      </c>
      <c r="C81" s="97"/>
      <c r="D81" s="97"/>
      <c r="E81" s="101"/>
    </row>
    <row r="82" spans="1:5" ht="15" customHeight="1">
      <c r="A82" s="277"/>
      <c r="B82" s="538" t="s">
        <v>933</v>
      </c>
      <c r="C82" s="538"/>
      <c r="D82" s="538"/>
      <c r="E82" s="101" t="s">
        <v>139</v>
      </c>
    </row>
    <row r="83" spans="1:5" ht="29.4" customHeight="1">
      <c r="A83" s="277"/>
      <c r="B83" s="538" t="s">
        <v>934</v>
      </c>
      <c r="C83" s="538"/>
      <c r="D83" s="538"/>
      <c r="E83" s="101" t="s">
        <v>139</v>
      </c>
    </row>
    <row r="84" spans="1:5" ht="31.8" customHeight="1">
      <c r="A84" s="277"/>
      <c r="B84" s="538" t="s">
        <v>936</v>
      </c>
      <c r="C84" s="538"/>
      <c r="D84" s="538"/>
      <c r="E84" s="101" t="s">
        <v>139</v>
      </c>
    </row>
    <row r="85" spans="1:5" ht="17.399999999999999" customHeight="1">
      <c r="A85" s="114"/>
      <c r="B85" s="531" t="s">
        <v>147</v>
      </c>
      <c r="C85" s="531"/>
      <c r="D85" s="531"/>
      <c r="E85" s="531"/>
    </row>
    <row r="86" spans="1:5" ht="14.4">
      <c r="A86" s="114"/>
      <c r="B86" s="97"/>
      <c r="C86" s="97"/>
      <c r="D86" s="97"/>
      <c r="E86" s="97"/>
    </row>
    <row r="87" spans="1:5" ht="14.4">
      <c r="A87" s="114"/>
      <c r="B87" s="97"/>
      <c r="C87" s="97"/>
      <c r="D87" s="97"/>
      <c r="E87" s="97"/>
    </row>
    <row r="88" spans="1:5" ht="14.4">
      <c r="A88" s="114"/>
      <c r="B88" s="97"/>
      <c r="C88" s="97"/>
      <c r="D88" s="97"/>
      <c r="E88" s="97"/>
    </row>
    <row r="89" spans="1:5">
      <c r="B89" s="97"/>
      <c r="C89" s="97"/>
      <c r="D89" s="97"/>
      <c r="E89" s="97"/>
    </row>
  </sheetData>
  <sheetProtection sheet="1" objects="1" scenarios="1"/>
  <mergeCells count="41">
    <mergeCell ref="B80:D80"/>
    <mergeCell ref="B82:D82"/>
    <mergeCell ref="B83:D83"/>
    <mergeCell ref="B36:C36"/>
    <mergeCell ref="B85:E85"/>
    <mergeCell ref="B84:D84"/>
    <mergeCell ref="B58:D58"/>
    <mergeCell ref="B38:E38"/>
    <mergeCell ref="B45:D45"/>
    <mergeCell ref="D46:E46"/>
    <mergeCell ref="B54:E54"/>
    <mergeCell ref="B46:C46"/>
    <mergeCell ref="B53:D53"/>
    <mergeCell ref="B55:D55"/>
    <mergeCell ref="B56:D56"/>
    <mergeCell ref="B57:D57"/>
    <mergeCell ref="B74:C74"/>
    <mergeCell ref="B75:E75"/>
    <mergeCell ref="B76:E76"/>
    <mergeCell ref="B78:D78"/>
    <mergeCell ref="B79:D79"/>
    <mergeCell ref="B14:D14"/>
    <mergeCell ref="B9:D9"/>
    <mergeCell ref="B10:D10"/>
    <mergeCell ref="B11:D11"/>
    <mergeCell ref="B12:D12"/>
    <mergeCell ref="B13:D13"/>
    <mergeCell ref="B15:D15"/>
    <mergeCell ref="B64:D64"/>
    <mergeCell ref="B65:D65"/>
    <mergeCell ref="B66:D66"/>
    <mergeCell ref="B59:E59"/>
    <mergeCell ref="B60:D60"/>
    <mergeCell ref="B61:D61"/>
    <mergeCell ref="B62:D62"/>
    <mergeCell ref="B63:D63"/>
    <mergeCell ref="B4:E4"/>
    <mergeCell ref="B7:E7"/>
    <mergeCell ref="B6:D6"/>
    <mergeCell ref="B5:E5"/>
    <mergeCell ref="B8:D8"/>
  </mergeCells>
  <conditionalFormatting sqref="B16:E67 A81:E84">
    <cfRule type="expression" dxfId="108" priority="6">
      <formula>$E$15&lt;&gt;"☑"</formula>
    </cfRule>
  </conditionalFormatting>
  <conditionalFormatting sqref="B7:E14 A77:E80">
    <cfRule type="expression" dxfId="107" priority="5">
      <formula>$E$6&lt;&gt;"☑"</formula>
    </cfRule>
  </conditionalFormatting>
  <conditionalFormatting sqref="D37">
    <cfRule type="cellIs" dxfId="106" priority="2" operator="equal">
      <formula>$D$37</formula>
    </cfRule>
  </conditionalFormatting>
  <conditionalFormatting sqref="B16:E67">
    <cfRule type="expression" dxfId="105" priority="1">
      <formula>$E$15&lt;&gt;"☑"</formula>
    </cfRule>
  </conditionalFormatting>
  <dataValidations count="3">
    <dataValidation type="decimal" sqref="C1" xr:uid="{00000000-0002-0000-0B00-000000000000}">
      <formula1>0</formula1>
      <formula2>3</formula2>
    </dataValidation>
    <dataValidation type="list" sqref="A1 E6 E78:E84 E15 C47:C52" xr:uid="{00000000-0002-0000-0B00-000001000000}">
      <formula1>"☐,☑"</formula1>
    </dataValidation>
    <dataValidation sqref="E14 E8:E11 E60:E63 E66:E67 E16 E40:E45" xr:uid="{00000000-0002-0000-0B00-000002000000}"/>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R56"/>
  <sheetViews>
    <sheetView zoomScale="80" zoomScaleNormal="80" workbookViewId="0">
      <selection activeCell="M3" sqref="M3:O3"/>
    </sheetView>
  </sheetViews>
  <sheetFormatPr defaultRowHeight="13.8"/>
  <cols>
    <col min="1" max="1" width="6" style="93" customWidth="1"/>
    <col min="2" max="2" width="22.09765625" style="93" customWidth="1"/>
    <col min="3" max="3" width="12.8984375" style="93" customWidth="1"/>
    <col min="4" max="5" width="12.19921875" style="93" customWidth="1"/>
    <col min="6" max="6" width="11.796875" style="93" customWidth="1"/>
    <col min="7" max="7" width="10.796875" style="93" customWidth="1"/>
    <col min="8" max="8" width="12.19921875" style="93" customWidth="1"/>
    <col min="9" max="9" width="11.09765625" style="93" customWidth="1"/>
    <col min="10" max="10" width="7" style="93" customWidth="1"/>
    <col min="11" max="11" width="22.796875" style="93" customWidth="1"/>
    <col min="12" max="12" width="21.3984375" style="93" customWidth="1"/>
    <col min="13" max="13" width="26.09765625" style="93" customWidth="1"/>
    <col min="14" max="14" width="18.796875" style="93" customWidth="1"/>
    <col min="15" max="16384" width="8.796875" style="93"/>
  </cols>
  <sheetData>
    <row r="1" spans="1:15" ht="17.399999999999999">
      <c r="A1" s="91" t="s">
        <v>134</v>
      </c>
      <c r="B1" s="707" t="s">
        <v>163</v>
      </c>
      <c r="C1" s="707"/>
      <c r="D1" s="707"/>
      <c r="E1" s="705">
        <f>MAX(N33,H38)</f>
        <v>0</v>
      </c>
      <c r="F1" s="705"/>
      <c r="G1" s="705"/>
      <c r="H1" s="705"/>
      <c r="I1" s="705"/>
      <c r="J1" s="704" t="s">
        <v>937</v>
      </c>
      <c r="K1" s="704"/>
      <c r="L1" s="704"/>
      <c r="M1" s="704">
        <v>4</v>
      </c>
      <c r="N1" s="704"/>
      <c r="O1" s="704"/>
    </row>
    <row r="2" spans="1:15" ht="30.15" customHeight="1">
      <c r="A2" s="94"/>
      <c r="B2" s="610" t="s">
        <v>30</v>
      </c>
      <c r="C2" s="610"/>
      <c r="D2" s="610"/>
      <c r="E2" s="610"/>
      <c r="F2" s="610"/>
      <c r="G2" s="610"/>
      <c r="H2" s="601"/>
      <c r="I2" s="601"/>
      <c r="J2" s="203"/>
      <c r="K2" s="203"/>
      <c r="L2" s="203"/>
      <c r="M2" s="601" t="s">
        <v>29</v>
      </c>
      <c r="N2" s="601"/>
      <c r="O2" s="601"/>
    </row>
    <row r="3" spans="1:15" ht="16.8" customHeight="1">
      <c r="A3" s="94"/>
      <c r="B3" s="96" t="s">
        <v>5</v>
      </c>
      <c r="C3" s="632"/>
      <c r="D3" s="632"/>
      <c r="E3" s="632"/>
      <c r="F3" s="632"/>
      <c r="G3" s="632"/>
      <c r="H3" s="632"/>
      <c r="I3" s="632"/>
      <c r="J3" s="632"/>
      <c r="K3" s="632"/>
      <c r="L3" s="632"/>
      <c r="M3" s="728" t="str">
        <f>HYPERLINK("#'Checklist'!A1","Go To Checklist")</f>
        <v>Go To Checklist</v>
      </c>
      <c r="N3" s="728"/>
      <c r="O3" s="728"/>
    </row>
    <row r="4" spans="1:15" ht="53.4" customHeight="1">
      <c r="A4" s="94"/>
      <c r="B4" s="533" t="s">
        <v>710</v>
      </c>
      <c r="C4" s="699"/>
      <c r="D4" s="699"/>
      <c r="E4" s="699"/>
      <c r="F4" s="699"/>
      <c r="G4" s="699"/>
      <c r="H4" s="699"/>
      <c r="I4" s="700"/>
      <c r="K4" s="726" t="s">
        <v>710</v>
      </c>
      <c r="L4" s="727"/>
      <c r="M4" s="727"/>
      <c r="N4" s="727"/>
      <c r="O4" s="727"/>
    </row>
    <row r="5" spans="1:15" ht="19.2" customHeight="1">
      <c r="A5" s="94"/>
      <c r="B5" s="528" t="s">
        <v>931</v>
      </c>
      <c r="C5" s="528"/>
      <c r="D5" s="528"/>
      <c r="E5" s="528"/>
      <c r="F5" s="562"/>
      <c r="G5" s="562"/>
      <c r="H5" s="562"/>
      <c r="I5" s="562"/>
      <c r="K5" s="656" t="s">
        <v>931</v>
      </c>
      <c r="L5" s="656"/>
      <c r="M5" s="656"/>
      <c r="N5" s="656"/>
      <c r="O5" s="656"/>
    </row>
    <row r="6" spans="1:15" ht="17.399999999999999" customHeight="1">
      <c r="A6" s="661"/>
      <c r="B6" s="657" t="s">
        <v>1669</v>
      </c>
      <c r="C6" s="657"/>
      <c r="D6" s="657"/>
      <c r="E6" s="657"/>
      <c r="F6" s="657"/>
      <c r="G6" s="657"/>
      <c r="H6" s="657"/>
      <c r="I6" s="657"/>
      <c r="J6" s="657"/>
      <c r="K6" s="657"/>
      <c r="L6" s="657"/>
      <c r="M6" s="657"/>
      <c r="N6" s="657"/>
      <c r="O6" s="657"/>
    </row>
    <row r="7" spans="1:15" ht="19.95" customHeight="1">
      <c r="A7" s="661"/>
      <c r="B7" s="658" t="s">
        <v>231</v>
      </c>
      <c r="C7" s="658"/>
      <c r="D7" s="658"/>
      <c r="E7" s="229"/>
      <c r="F7" s="230"/>
      <c r="G7" s="230"/>
      <c r="H7" s="651" t="s">
        <v>134</v>
      </c>
      <c r="I7" s="651"/>
      <c r="J7" s="232" t="s">
        <v>508</v>
      </c>
      <c r="K7" s="708" t="s">
        <v>881</v>
      </c>
      <c r="L7" s="708"/>
      <c r="M7" s="708"/>
      <c r="N7" s="651" t="s">
        <v>134</v>
      </c>
      <c r="O7" s="651"/>
    </row>
    <row r="8" spans="1:15" ht="30" customHeight="1">
      <c r="A8" s="237"/>
      <c r="B8" s="529" t="s">
        <v>232</v>
      </c>
      <c r="C8" s="529"/>
      <c r="D8" s="529"/>
      <c r="E8" s="529"/>
      <c r="F8" s="529"/>
      <c r="G8" s="529"/>
      <c r="H8" s="529"/>
      <c r="I8" s="529"/>
      <c r="K8" s="683" t="s">
        <v>1411</v>
      </c>
      <c r="L8" s="683"/>
      <c r="M8" s="683"/>
      <c r="N8" s="683"/>
      <c r="O8" s="683"/>
    </row>
    <row r="9" spans="1:15" ht="30" customHeight="1">
      <c r="A9" s="237"/>
      <c r="B9" s="659" t="s">
        <v>521</v>
      </c>
      <c r="C9" s="659"/>
      <c r="D9" s="659"/>
      <c r="E9" s="659"/>
      <c r="F9" s="659"/>
      <c r="G9" s="659"/>
      <c r="H9" s="659"/>
      <c r="I9" s="659"/>
      <c r="K9" s="730" t="s">
        <v>533</v>
      </c>
      <c r="L9" s="731" t="s">
        <v>1409</v>
      </c>
      <c r="M9" s="731"/>
      <c r="N9" s="731" t="s">
        <v>1410</v>
      </c>
      <c r="O9" s="731"/>
    </row>
    <row r="10" spans="1:15" ht="30" customHeight="1">
      <c r="A10" s="237"/>
      <c r="B10" s="297" t="s">
        <v>522</v>
      </c>
      <c r="C10" s="710" t="s">
        <v>995</v>
      </c>
      <c r="D10" s="710"/>
      <c r="E10" s="710" t="s">
        <v>523</v>
      </c>
      <c r="F10" s="710"/>
      <c r="G10" s="710"/>
      <c r="H10" s="710" t="s">
        <v>524</v>
      </c>
      <c r="I10" s="710"/>
      <c r="K10" s="730"/>
      <c r="L10" s="731"/>
      <c r="M10" s="731"/>
      <c r="N10" s="731"/>
      <c r="O10" s="731"/>
    </row>
    <row r="11" spans="1:15" ht="30" customHeight="1">
      <c r="A11" s="237"/>
      <c r="B11" s="235" t="s">
        <v>991</v>
      </c>
      <c r="C11" s="664">
        <v>0</v>
      </c>
      <c r="D11" s="664"/>
      <c r="E11" s="673" t="s">
        <v>994</v>
      </c>
      <c r="F11" s="709"/>
      <c r="G11" s="709"/>
      <c r="H11" s="665">
        <f>C11</f>
        <v>0</v>
      </c>
      <c r="I11" s="665"/>
      <c r="K11" s="218" t="s">
        <v>1032</v>
      </c>
      <c r="L11" s="655"/>
      <c r="M11" s="655"/>
      <c r="N11" s="655"/>
      <c r="O11" s="655"/>
    </row>
    <row r="12" spans="1:15" ht="30" customHeight="1">
      <c r="A12" s="237"/>
      <c r="B12" s="235" t="s">
        <v>992</v>
      </c>
      <c r="C12" s="664">
        <v>0</v>
      </c>
      <c r="D12" s="664"/>
      <c r="E12" s="664">
        <v>0</v>
      </c>
      <c r="F12" s="664"/>
      <c r="G12" s="664"/>
      <c r="H12" s="665">
        <f t="shared" ref="H12:H13" si="0">(C12*E12)/8</f>
        <v>0</v>
      </c>
      <c r="I12" s="665"/>
      <c r="K12" s="218" t="s">
        <v>1033</v>
      </c>
      <c r="L12" s="655"/>
      <c r="M12" s="655"/>
      <c r="N12" s="655"/>
      <c r="O12" s="655"/>
    </row>
    <row r="13" spans="1:15" ht="30" customHeight="1">
      <c r="A13" s="237"/>
      <c r="B13" s="235" t="s">
        <v>993</v>
      </c>
      <c r="C13" s="664">
        <v>0</v>
      </c>
      <c r="D13" s="664"/>
      <c r="E13" s="664">
        <v>0</v>
      </c>
      <c r="F13" s="664"/>
      <c r="G13" s="664"/>
      <c r="H13" s="665">
        <f t="shared" si="0"/>
        <v>0</v>
      </c>
      <c r="I13" s="665"/>
      <c r="K13" s="218" t="s">
        <v>1034</v>
      </c>
      <c r="L13" s="655"/>
      <c r="M13" s="655"/>
      <c r="N13" s="655"/>
      <c r="O13" s="655"/>
    </row>
    <row r="14" spans="1:15" ht="30" customHeight="1">
      <c r="A14" s="207"/>
      <c r="B14" s="711" t="s">
        <v>525</v>
      </c>
      <c r="C14" s="711"/>
      <c r="D14" s="711"/>
      <c r="E14" s="711"/>
      <c r="F14" s="711"/>
      <c r="G14" s="711"/>
      <c r="H14" s="712">
        <f>SUM(H11:I13)</f>
        <v>0</v>
      </c>
      <c r="I14" s="712"/>
      <c r="K14" s="218" t="s">
        <v>1035</v>
      </c>
      <c r="L14" s="655"/>
      <c r="M14" s="655"/>
      <c r="N14" s="655"/>
      <c r="O14" s="655"/>
    </row>
    <row r="15" spans="1:15" ht="30" customHeight="1">
      <c r="A15" s="124"/>
      <c r="B15" s="567" t="s">
        <v>1442</v>
      </c>
      <c r="C15" s="567"/>
      <c r="D15" s="104"/>
      <c r="E15" s="104"/>
      <c r="F15" s="104"/>
      <c r="G15" s="104"/>
      <c r="H15" s="104"/>
      <c r="I15" s="101"/>
      <c r="K15" s="218" t="s">
        <v>1036</v>
      </c>
      <c r="L15" s="655"/>
      <c r="M15" s="655"/>
      <c r="N15" s="655"/>
      <c r="O15" s="655"/>
    </row>
    <row r="16" spans="1:15" ht="30" customHeight="1">
      <c r="A16" s="94"/>
      <c r="B16" s="706" t="s">
        <v>233</v>
      </c>
      <c r="C16" s="706" t="s">
        <v>234</v>
      </c>
      <c r="D16" s="706" t="s">
        <v>501</v>
      </c>
      <c r="E16" s="706" t="s">
        <v>524</v>
      </c>
      <c r="F16" s="706" t="s">
        <v>235</v>
      </c>
      <c r="G16" s="706"/>
      <c r="H16" s="706" t="s">
        <v>236</v>
      </c>
      <c r="I16" s="706"/>
      <c r="K16" s="218" t="s">
        <v>1037</v>
      </c>
      <c r="L16" s="655"/>
      <c r="M16" s="655"/>
      <c r="N16" s="655"/>
      <c r="O16" s="655"/>
    </row>
    <row r="17" spans="1:18" ht="30" customHeight="1">
      <c r="A17" s="94"/>
      <c r="B17" s="654"/>
      <c r="C17" s="654"/>
      <c r="D17" s="654"/>
      <c r="E17" s="654"/>
      <c r="F17" s="236" t="s">
        <v>237</v>
      </c>
      <c r="G17" s="236" t="s">
        <v>238</v>
      </c>
      <c r="H17" s="236" t="s">
        <v>237</v>
      </c>
      <c r="I17" s="236" t="s">
        <v>238</v>
      </c>
      <c r="K17" s="218" t="s">
        <v>1038</v>
      </c>
      <c r="L17" s="655"/>
      <c r="M17" s="655"/>
      <c r="N17" s="655"/>
      <c r="O17" s="655"/>
    </row>
    <row r="18" spans="1:18" ht="30" customHeight="1">
      <c r="A18" s="94"/>
      <c r="B18" s="238" t="s">
        <v>239</v>
      </c>
      <c r="C18" s="238" t="s">
        <v>240</v>
      </c>
      <c r="D18" s="251">
        <v>1</v>
      </c>
      <c r="E18" s="252">
        <f>SUM(H12:I13)</f>
        <v>0</v>
      </c>
      <c r="F18" s="238">
        <v>6</v>
      </c>
      <c r="G18" s="252">
        <f>F18*D18*E18</f>
        <v>0</v>
      </c>
      <c r="H18" s="238">
        <v>4.8</v>
      </c>
      <c r="I18" s="252">
        <f>H18*D18*E18</f>
        <v>0</v>
      </c>
      <c r="K18" s="218" t="s">
        <v>1039</v>
      </c>
      <c r="L18" s="655"/>
      <c r="M18" s="655"/>
      <c r="N18" s="655"/>
      <c r="O18" s="655"/>
    </row>
    <row r="19" spans="1:18" ht="30" customHeight="1">
      <c r="A19" s="94"/>
      <c r="B19" s="238" t="s">
        <v>241</v>
      </c>
      <c r="C19" s="238" t="s">
        <v>240</v>
      </c>
      <c r="D19" s="251">
        <v>2</v>
      </c>
      <c r="E19" s="252">
        <f>0.5*SUM(H12:I13)</f>
        <v>0</v>
      </c>
      <c r="F19" s="238">
        <v>3</v>
      </c>
      <c r="G19" s="252">
        <f>F19*D19*E19</f>
        <v>0</v>
      </c>
      <c r="H19" s="238">
        <v>2</v>
      </c>
      <c r="I19" s="252">
        <f>H19*D19*E19</f>
        <v>0</v>
      </c>
      <c r="K19" s="218" t="s">
        <v>1040</v>
      </c>
      <c r="L19" s="655"/>
      <c r="M19" s="655"/>
      <c r="N19" s="655"/>
      <c r="O19" s="655"/>
    </row>
    <row r="20" spans="1:18" ht="30" customHeight="1">
      <c r="A20" s="94"/>
      <c r="B20" s="238" t="s">
        <v>242</v>
      </c>
      <c r="C20" s="238" t="s">
        <v>240</v>
      </c>
      <c r="D20" s="251">
        <v>2</v>
      </c>
      <c r="E20" s="252">
        <f>0.5*SUM(H13:I14)</f>
        <v>0</v>
      </c>
      <c r="F20" s="238">
        <v>3</v>
      </c>
      <c r="G20" s="252">
        <f>F20*D20*E20</f>
        <v>0</v>
      </c>
      <c r="H20" s="238">
        <v>1.5</v>
      </c>
      <c r="I20" s="252">
        <f>H20*D20*E20</f>
        <v>0</v>
      </c>
      <c r="K20" s="218" t="s">
        <v>1041</v>
      </c>
      <c r="L20" s="655"/>
      <c r="M20" s="655"/>
      <c r="N20" s="655"/>
      <c r="O20" s="655"/>
    </row>
    <row r="21" spans="1:18" ht="30" customHeight="1">
      <c r="A21" s="94"/>
      <c r="B21" s="238" t="s">
        <v>243</v>
      </c>
      <c r="C21" s="238" t="s">
        <v>244</v>
      </c>
      <c r="D21" s="251">
        <v>4</v>
      </c>
      <c r="E21" s="253">
        <f>SUM(H12:I13)</f>
        <v>0</v>
      </c>
      <c r="F21" s="238">
        <v>8</v>
      </c>
      <c r="G21" s="252">
        <f>F21*(15/60)*D21*E21</f>
        <v>0</v>
      </c>
      <c r="H21" s="238">
        <v>6</v>
      </c>
      <c r="I21" s="252">
        <f>H21*(15/60)*D21*E21</f>
        <v>0</v>
      </c>
      <c r="K21" s="218" t="s">
        <v>1042</v>
      </c>
      <c r="L21" s="655"/>
      <c r="M21" s="655"/>
      <c r="N21" s="655"/>
      <c r="O21" s="655"/>
    </row>
    <row r="22" spans="1:18" ht="30" customHeight="1">
      <c r="A22" s="94"/>
      <c r="B22" s="238" t="s">
        <v>245</v>
      </c>
      <c r="C22" s="238" t="s">
        <v>246</v>
      </c>
      <c r="D22" s="251">
        <v>0.1</v>
      </c>
      <c r="E22" s="253">
        <f t="shared" ref="E22:E23" si="1">SUM(H13:I14)</f>
        <v>0</v>
      </c>
      <c r="F22" s="238">
        <v>10</v>
      </c>
      <c r="G22" s="252">
        <f>F22*8*D22*E22</f>
        <v>0</v>
      </c>
      <c r="H22" s="238">
        <v>8</v>
      </c>
      <c r="I22" s="252">
        <f>H22*8*D22*E22</f>
        <v>0</v>
      </c>
      <c r="K22" s="218" t="s">
        <v>1043</v>
      </c>
      <c r="L22" s="655"/>
      <c r="M22" s="655"/>
      <c r="N22" s="655"/>
      <c r="O22" s="655"/>
    </row>
    <row r="23" spans="1:18" ht="30" customHeight="1">
      <c r="A23" s="94"/>
      <c r="B23" s="238" t="s">
        <v>247</v>
      </c>
      <c r="C23" s="238" t="s">
        <v>244</v>
      </c>
      <c r="D23" s="251">
        <v>1</v>
      </c>
      <c r="E23" s="253">
        <f t="shared" si="1"/>
        <v>0</v>
      </c>
      <c r="F23" s="238">
        <v>6</v>
      </c>
      <c r="G23" s="252">
        <f>F23*(15/60)*D23*E23</f>
        <v>0</v>
      </c>
      <c r="H23" s="238">
        <v>4</v>
      </c>
      <c r="I23" s="252">
        <f>H23*(15/60)*D23*E23</f>
        <v>0</v>
      </c>
      <c r="K23" s="685" t="s">
        <v>509</v>
      </c>
      <c r="L23" s="685"/>
      <c r="M23" s="685"/>
      <c r="N23" s="677">
        <f>SUM(N11:O22)</f>
        <v>0</v>
      </c>
      <c r="O23" s="677"/>
    </row>
    <row r="24" spans="1:18" ht="30" customHeight="1">
      <c r="A24" s="94"/>
      <c r="B24" s="298"/>
      <c r="C24" s="298"/>
      <c r="D24" s="298"/>
      <c r="E24" s="669" t="s">
        <v>249</v>
      </c>
      <c r="F24" s="669"/>
      <c r="G24" s="259">
        <f>SUM(G18:G23)</f>
        <v>0</v>
      </c>
      <c r="H24" s="260" t="s">
        <v>250</v>
      </c>
      <c r="I24" s="259">
        <f>SUM(I18:I23)</f>
        <v>0</v>
      </c>
      <c r="K24" s="621" t="s">
        <v>254</v>
      </c>
      <c r="L24" s="621"/>
      <c r="M24" s="143" t="s">
        <v>255</v>
      </c>
      <c r="N24" s="725"/>
      <c r="O24" s="725"/>
    </row>
    <row r="25" spans="1:18" ht="30" customHeight="1">
      <c r="A25" s="94"/>
      <c r="B25" s="567" t="s">
        <v>1441</v>
      </c>
      <c r="C25" s="567"/>
      <c r="D25" s="104"/>
      <c r="E25" s="104"/>
      <c r="F25" s="104"/>
      <c r="G25" s="104"/>
      <c r="H25" s="104"/>
      <c r="I25" s="101"/>
      <c r="K25" s="664" t="s">
        <v>281</v>
      </c>
      <c r="L25" s="664"/>
      <c r="M25" s="243" t="s">
        <v>886</v>
      </c>
      <c r="N25" s="678">
        <f>IF('Project Info'!C11="Luxury Hotel",600,IF('Project Info'!C11="Business Hotel",400,""))</f>
        <v>400</v>
      </c>
      <c r="O25" s="678"/>
    </row>
    <row r="26" spans="1:18" ht="30" customHeight="1">
      <c r="A26" s="94"/>
      <c r="B26" s="654" t="s">
        <v>233</v>
      </c>
      <c r="C26" s="654" t="s">
        <v>234</v>
      </c>
      <c r="D26" s="654" t="s">
        <v>501</v>
      </c>
      <c r="E26" s="654" t="s">
        <v>520</v>
      </c>
      <c r="F26" s="654" t="s">
        <v>235</v>
      </c>
      <c r="G26" s="654"/>
      <c r="H26" s="654" t="s">
        <v>236</v>
      </c>
      <c r="I26" s="654"/>
      <c r="K26" s="621" t="s">
        <v>868</v>
      </c>
      <c r="L26" s="621"/>
      <c r="M26" s="143" t="s">
        <v>869</v>
      </c>
      <c r="N26" s="678">
        <f>IFERROR(N24/N23,0)</f>
        <v>0</v>
      </c>
      <c r="O26" s="678"/>
    </row>
    <row r="27" spans="1:18" ht="30" customHeight="1">
      <c r="A27" s="94"/>
      <c r="B27" s="654"/>
      <c r="C27" s="654"/>
      <c r="D27" s="654"/>
      <c r="E27" s="654"/>
      <c r="F27" s="236" t="s">
        <v>237</v>
      </c>
      <c r="G27" s="236" t="s">
        <v>238</v>
      </c>
      <c r="H27" s="236" t="s">
        <v>237</v>
      </c>
      <c r="I27" s="236" t="s">
        <v>238</v>
      </c>
      <c r="K27" s="634" t="s">
        <v>282</v>
      </c>
      <c r="L27" s="634"/>
      <c r="M27" s="149" t="s">
        <v>170</v>
      </c>
      <c r="N27" s="724">
        <f>IFERROR((N25-N26)/N25,0)</f>
        <v>1</v>
      </c>
      <c r="O27" s="724"/>
    </row>
    <row r="28" spans="1:18" ht="30" customHeight="1">
      <c r="A28" s="94"/>
      <c r="B28" s="238" t="s">
        <v>996</v>
      </c>
      <c r="C28" s="238" t="s">
        <v>240</v>
      </c>
      <c r="D28" s="239">
        <v>1</v>
      </c>
      <c r="E28" s="240">
        <f>H11</f>
        <v>0</v>
      </c>
      <c r="F28" s="238">
        <v>6</v>
      </c>
      <c r="G28" s="240">
        <f>F28*D28*E28</f>
        <v>0</v>
      </c>
      <c r="H28" s="238">
        <v>4.8</v>
      </c>
      <c r="I28" s="240">
        <f>H28*D28*E28</f>
        <v>0</v>
      </c>
      <c r="K28" s="723" t="s">
        <v>941</v>
      </c>
      <c r="L28" s="723"/>
      <c r="M28" s="299" t="s">
        <v>163</v>
      </c>
      <c r="N28" s="682" t="s">
        <v>6</v>
      </c>
      <c r="O28" s="682"/>
    </row>
    <row r="29" spans="1:18" ht="30" customHeight="1">
      <c r="A29" s="94"/>
      <c r="B29" s="238" t="s">
        <v>997</v>
      </c>
      <c r="C29" s="238" t="s">
        <v>240</v>
      </c>
      <c r="D29" s="239">
        <v>4</v>
      </c>
      <c r="E29" s="240">
        <f>0.5*H11</f>
        <v>0</v>
      </c>
      <c r="F29" s="238">
        <v>3</v>
      </c>
      <c r="G29" s="240">
        <f>F29*D29*E29</f>
        <v>0</v>
      </c>
      <c r="H29" s="238">
        <v>2</v>
      </c>
      <c r="I29" s="240">
        <f>H29*D29*E29</f>
        <v>0</v>
      </c>
      <c r="K29" s="621" t="s">
        <v>279</v>
      </c>
      <c r="L29" s="621"/>
      <c r="M29" s="143">
        <v>1</v>
      </c>
      <c r="N29" s="729">
        <f>IFERROR(IF(N27&gt;20%,4,IF(N27&gt;15%,3,IF(N27&gt;10%,2,IF(N27&gt;5%,1,0)))),0)</f>
        <v>4</v>
      </c>
      <c r="O29" s="729"/>
    </row>
    <row r="30" spans="1:18" ht="30" customHeight="1">
      <c r="A30" s="94"/>
      <c r="B30" s="238" t="s">
        <v>243</v>
      </c>
      <c r="C30" s="238" t="s">
        <v>244</v>
      </c>
      <c r="D30" s="239">
        <v>8</v>
      </c>
      <c r="E30" s="241">
        <f>H11</f>
        <v>0</v>
      </c>
      <c r="F30" s="238">
        <v>8</v>
      </c>
      <c r="G30" s="240">
        <f>F30*(15/60)*D30*E30</f>
        <v>0</v>
      </c>
      <c r="H30" s="238">
        <v>6</v>
      </c>
      <c r="I30" s="240">
        <f>H30*(15/60)*D30*E30</f>
        <v>0</v>
      </c>
      <c r="K30" s="621" t="s">
        <v>280</v>
      </c>
      <c r="L30" s="621"/>
      <c r="M30" s="143">
        <v>2</v>
      </c>
      <c r="N30" s="729"/>
      <c r="O30" s="729"/>
    </row>
    <row r="31" spans="1:18" ht="30" customHeight="1">
      <c r="A31" s="94"/>
      <c r="B31" s="238" t="s">
        <v>245</v>
      </c>
      <c r="C31" s="238" t="s">
        <v>246</v>
      </c>
      <c r="D31" s="239">
        <v>1</v>
      </c>
      <c r="E31" s="241">
        <f>H11</f>
        <v>0</v>
      </c>
      <c r="F31" s="238">
        <v>10</v>
      </c>
      <c r="G31" s="240">
        <f>F31*8*D31*E31</f>
        <v>0</v>
      </c>
      <c r="H31" s="238">
        <v>8</v>
      </c>
      <c r="I31" s="240">
        <f>H31*8*D31*E31</f>
        <v>0</v>
      </c>
      <c r="K31" s="621" t="s">
        <v>172</v>
      </c>
      <c r="L31" s="621"/>
      <c r="M31" s="143">
        <v>3</v>
      </c>
      <c r="N31" s="729"/>
      <c r="O31" s="729"/>
      <c r="P31" s="302"/>
      <c r="Q31" s="302"/>
      <c r="R31" s="303"/>
    </row>
    <row r="32" spans="1:18" ht="30" customHeight="1">
      <c r="A32" s="94"/>
      <c r="B32" s="238" t="s">
        <v>247</v>
      </c>
      <c r="C32" s="238" t="s">
        <v>244</v>
      </c>
      <c r="D32" s="239">
        <v>1</v>
      </c>
      <c r="E32" s="241">
        <f>H11</f>
        <v>0</v>
      </c>
      <c r="F32" s="238">
        <v>6</v>
      </c>
      <c r="G32" s="240">
        <f>F32*(15/60)*D32*E32</f>
        <v>0</v>
      </c>
      <c r="H32" s="238">
        <v>4</v>
      </c>
      <c r="I32" s="240">
        <f>H32*(15/60)*D32*E32</f>
        <v>0</v>
      </c>
      <c r="K32" s="621" t="s">
        <v>173</v>
      </c>
      <c r="L32" s="621"/>
      <c r="M32" s="143">
        <v>4</v>
      </c>
      <c r="N32" s="729"/>
      <c r="O32" s="729"/>
    </row>
    <row r="33" spans="1:16" ht="30" customHeight="1">
      <c r="A33" s="94"/>
      <c r="B33" s="238" t="s">
        <v>248</v>
      </c>
      <c r="C33" s="238" t="s">
        <v>244</v>
      </c>
      <c r="D33" s="239">
        <v>6</v>
      </c>
      <c r="E33" s="241">
        <f>H11</f>
        <v>0</v>
      </c>
      <c r="F33" s="238">
        <v>8</v>
      </c>
      <c r="G33" s="240">
        <f>F33*(15/60)*D33*E33</f>
        <v>0</v>
      </c>
      <c r="H33" s="238">
        <v>6</v>
      </c>
      <c r="I33" s="240">
        <f>H33*(15/60)*D33*E33</f>
        <v>0</v>
      </c>
      <c r="K33" s="716"/>
      <c r="L33" s="716"/>
      <c r="M33" s="716"/>
      <c r="N33" s="716"/>
      <c r="O33" s="716"/>
    </row>
    <row r="34" spans="1:16" ht="25.8" customHeight="1">
      <c r="B34" s="238"/>
      <c r="C34" s="238"/>
      <c r="D34" s="239"/>
      <c r="E34" s="666" t="s">
        <v>249</v>
      </c>
      <c r="F34" s="666"/>
      <c r="G34" s="254">
        <f>SUM(G28:G33)</f>
        <v>0</v>
      </c>
      <c r="H34" s="255" t="s">
        <v>250</v>
      </c>
      <c r="I34" s="254">
        <f>SUM(I28:I33)</f>
        <v>0</v>
      </c>
      <c r="K34" s="717"/>
      <c r="L34" s="717"/>
      <c r="M34" s="717"/>
      <c r="N34" s="717"/>
      <c r="O34" s="717"/>
    </row>
    <row r="35" spans="1:16" ht="16.2" customHeight="1">
      <c r="B35" s="702" t="s">
        <v>251</v>
      </c>
      <c r="C35" s="702"/>
      <c r="D35" s="254">
        <f>(G24+G34)*365</f>
        <v>0</v>
      </c>
      <c r="E35" s="703" t="s">
        <v>252</v>
      </c>
      <c r="F35" s="703"/>
      <c r="G35" s="703"/>
      <c r="H35" s="703"/>
      <c r="I35" s="254">
        <f>(I24+I34)*365</f>
        <v>0</v>
      </c>
      <c r="K35" s="717"/>
      <c r="L35" s="717"/>
      <c r="M35" s="717"/>
      <c r="N35" s="717"/>
      <c r="O35" s="717"/>
    </row>
    <row r="36" spans="1:16" ht="34.200000000000003" customHeight="1">
      <c r="B36" s="721" t="s">
        <v>253</v>
      </c>
      <c r="C36" s="721"/>
      <c r="D36" s="721"/>
      <c r="E36" s="306">
        <f>IFERROR((D35-I35)/D35,0)</f>
        <v>0</v>
      </c>
      <c r="F36" s="301"/>
      <c r="G36" s="301"/>
      <c r="H36" s="301"/>
      <c r="I36" s="301"/>
      <c r="K36" s="717"/>
      <c r="L36" s="717"/>
      <c r="M36" s="717"/>
      <c r="N36" s="717"/>
      <c r="O36" s="717"/>
    </row>
    <row r="37" spans="1:16" ht="15.6">
      <c r="B37" s="718" t="s">
        <v>1017</v>
      </c>
      <c r="C37" s="718"/>
      <c r="D37" s="718"/>
      <c r="E37" s="719" t="s">
        <v>163</v>
      </c>
      <c r="F37" s="719"/>
      <c r="G37" s="719"/>
      <c r="H37" s="720" t="s">
        <v>6</v>
      </c>
      <c r="I37" s="720"/>
      <c r="K37" s="717"/>
      <c r="L37" s="717"/>
      <c r="M37" s="717"/>
      <c r="N37" s="717"/>
      <c r="O37" s="717"/>
    </row>
    <row r="38" spans="1:16">
      <c r="B38" s="701" t="s">
        <v>279</v>
      </c>
      <c r="C38" s="701"/>
      <c r="D38" s="701"/>
      <c r="E38" s="701">
        <v>1</v>
      </c>
      <c r="F38" s="701"/>
      <c r="G38" s="701"/>
      <c r="H38" s="677">
        <f>IFERROR(IF(E36&gt;20%,4,IF(E36&gt;15%,3,IF(E36&gt;10%,2,IF(E36&gt;5%,1,0)))),0)</f>
        <v>0</v>
      </c>
      <c r="I38" s="677"/>
      <c r="K38" s="717"/>
      <c r="L38" s="717"/>
      <c r="M38" s="717"/>
      <c r="N38" s="717"/>
      <c r="O38" s="717"/>
    </row>
    <row r="39" spans="1:16">
      <c r="B39" s="701" t="s">
        <v>280</v>
      </c>
      <c r="C39" s="701"/>
      <c r="D39" s="701"/>
      <c r="E39" s="701">
        <v>2</v>
      </c>
      <c r="F39" s="701"/>
      <c r="G39" s="701"/>
      <c r="H39" s="677"/>
      <c r="I39" s="677"/>
      <c r="K39" s="717"/>
      <c r="L39" s="717"/>
      <c r="M39" s="717"/>
      <c r="N39" s="717"/>
      <c r="O39" s="717"/>
    </row>
    <row r="40" spans="1:16">
      <c r="B40" s="701" t="s">
        <v>172</v>
      </c>
      <c r="C40" s="701"/>
      <c r="D40" s="701"/>
      <c r="E40" s="701">
        <v>3</v>
      </c>
      <c r="F40" s="701"/>
      <c r="G40" s="701"/>
      <c r="H40" s="677"/>
      <c r="I40" s="677"/>
      <c r="K40" s="717"/>
      <c r="L40" s="717"/>
      <c r="M40" s="717"/>
      <c r="N40" s="717"/>
      <c r="O40" s="717"/>
    </row>
    <row r="41" spans="1:16" ht="19.8" customHeight="1">
      <c r="B41" s="701" t="s">
        <v>173</v>
      </c>
      <c r="C41" s="701"/>
      <c r="D41" s="701"/>
      <c r="E41" s="701">
        <v>4</v>
      </c>
      <c r="F41" s="701"/>
      <c r="G41" s="701"/>
      <c r="H41" s="677"/>
      <c r="I41" s="677"/>
      <c r="K41" s="717"/>
      <c r="L41" s="717"/>
      <c r="M41" s="717"/>
      <c r="N41" s="717"/>
      <c r="O41" s="717"/>
      <c r="P41" s="302"/>
    </row>
    <row r="42" spans="1:16" ht="15.6">
      <c r="B42" s="675"/>
      <c r="C42" s="675"/>
      <c r="D42" s="675"/>
      <c r="E42" s="675"/>
      <c r="F42" s="675"/>
      <c r="G42" s="675"/>
      <c r="H42" s="675"/>
      <c r="I42" s="675"/>
      <c r="K42" s="717"/>
      <c r="L42" s="717"/>
      <c r="M42" s="717"/>
      <c r="N42" s="717"/>
      <c r="O42" s="717"/>
    </row>
    <row r="43" spans="1:16">
      <c r="B43" s="722" t="s">
        <v>30</v>
      </c>
      <c r="C43" s="722"/>
      <c r="D43" s="722"/>
      <c r="E43" s="722"/>
      <c r="F43" s="722"/>
      <c r="G43" s="722"/>
      <c r="H43" s="714" t="s">
        <v>189</v>
      </c>
      <c r="I43" s="714"/>
      <c r="J43" s="714"/>
      <c r="K43" s="714"/>
      <c r="L43" s="714"/>
      <c r="M43" s="715"/>
      <c r="N43" s="715"/>
      <c r="O43" s="715"/>
    </row>
    <row r="44" spans="1:16" ht="17.399999999999999" customHeight="1">
      <c r="B44" s="707"/>
      <c r="C44" s="707"/>
      <c r="D44" s="707"/>
      <c r="E44" s="707"/>
      <c r="F44" s="707"/>
      <c r="G44" s="707"/>
      <c r="H44" s="707"/>
      <c r="I44" s="707"/>
      <c r="J44" s="707"/>
      <c r="K44" s="707"/>
      <c r="L44" s="707"/>
      <c r="M44" s="707"/>
      <c r="N44" s="707"/>
      <c r="O44" s="707"/>
    </row>
    <row r="45" spans="1:16" ht="17.399999999999999" customHeight="1">
      <c r="A45" s="209"/>
      <c r="B45" s="667" t="s">
        <v>1661</v>
      </c>
      <c r="C45" s="667"/>
      <c r="D45" s="667"/>
      <c r="E45" s="667"/>
      <c r="F45" s="667"/>
      <c r="G45" s="667"/>
      <c r="H45" s="667"/>
      <c r="I45" s="667"/>
      <c r="K45" s="713" t="s">
        <v>1661</v>
      </c>
      <c r="L45" s="713"/>
      <c r="M45" s="713"/>
      <c r="N45" s="713"/>
      <c r="O45" s="713"/>
    </row>
    <row r="46" spans="1:16" ht="17.399999999999999" customHeight="1">
      <c r="A46" s="209"/>
      <c r="B46" s="581" t="s">
        <v>231</v>
      </c>
      <c r="C46" s="581"/>
      <c r="D46" s="581"/>
      <c r="E46" s="132"/>
      <c r="F46" s="132"/>
      <c r="G46" s="132"/>
      <c r="H46" s="132"/>
      <c r="I46" s="132"/>
      <c r="K46" s="305" t="s">
        <v>881</v>
      </c>
      <c r="L46" s="305"/>
      <c r="M46" s="305"/>
      <c r="N46" s="101"/>
    </row>
    <row r="47" spans="1:16" ht="17.399999999999999" customHeight="1">
      <c r="A47" s="209"/>
      <c r="B47" s="560" t="s">
        <v>939</v>
      </c>
      <c r="C47" s="560"/>
      <c r="D47" s="560"/>
      <c r="E47" s="560"/>
      <c r="F47" s="560"/>
      <c r="G47" s="560"/>
      <c r="H47" s="560"/>
      <c r="I47" s="101" t="s">
        <v>139</v>
      </c>
      <c r="J47" s="209"/>
      <c r="K47" s="560" t="s">
        <v>938</v>
      </c>
      <c r="L47" s="560"/>
      <c r="M47" s="560"/>
      <c r="N47" s="560"/>
      <c r="O47" s="101" t="s">
        <v>139</v>
      </c>
    </row>
    <row r="48" spans="1:16" ht="17.399999999999999" customHeight="1">
      <c r="A48" s="209"/>
      <c r="B48" s="560" t="s">
        <v>929</v>
      </c>
      <c r="C48" s="560"/>
      <c r="D48" s="560"/>
      <c r="E48" s="560"/>
      <c r="F48" s="560"/>
      <c r="G48" s="560"/>
      <c r="H48" s="560"/>
      <c r="I48" s="101" t="s">
        <v>139</v>
      </c>
      <c r="J48" s="209"/>
      <c r="K48" s="560" t="s">
        <v>888</v>
      </c>
      <c r="L48" s="560"/>
      <c r="M48" s="560"/>
      <c r="N48" s="560"/>
      <c r="O48" s="101" t="s">
        <v>139</v>
      </c>
    </row>
    <row r="49" spans="1:14" ht="17.399999999999999" customHeight="1">
      <c r="B49" s="560" t="s">
        <v>930</v>
      </c>
      <c r="C49" s="560"/>
      <c r="D49" s="560"/>
      <c r="E49" s="560"/>
      <c r="F49" s="560"/>
      <c r="G49" s="560"/>
      <c r="H49" s="560"/>
      <c r="I49" s="101" t="s">
        <v>139</v>
      </c>
      <c r="J49" s="209"/>
      <c r="K49" s="645" t="s">
        <v>147</v>
      </c>
      <c r="L49" s="645"/>
      <c r="M49" s="645"/>
      <c r="N49" s="101"/>
    </row>
    <row r="50" spans="1:14" ht="17.399999999999999" customHeight="1">
      <c r="A50" s="209"/>
      <c r="B50" s="560" t="s">
        <v>926</v>
      </c>
      <c r="C50" s="560"/>
      <c r="D50" s="560"/>
      <c r="E50" s="560"/>
      <c r="F50" s="560"/>
      <c r="G50" s="560"/>
      <c r="H50" s="560"/>
      <c r="I50" s="101" t="s">
        <v>139</v>
      </c>
      <c r="J50" s="209"/>
      <c r="K50" s="560"/>
      <c r="L50" s="560"/>
      <c r="M50" s="560"/>
      <c r="N50" s="101"/>
    </row>
    <row r="51" spans="1:14" ht="17.399999999999999" customHeight="1">
      <c r="A51" s="209"/>
      <c r="B51" s="645" t="s">
        <v>147</v>
      </c>
      <c r="C51" s="645"/>
      <c r="D51" s="645"/>
      <c r="E51" s="645"/>
      <c r="F51" s="645"/>
      <c r="G51" s="645"/>
      <c r="H51" s="645"/>
      <c r="I51" s="101"/>
      <c r="J51" s="209"/>
      <c r="K51" s="560"/>
      <c r="L51" s="560"/>
      <c r="M51" s="560"/>
      <c r="N51" s="101"/>
    </row>
    <row r="52" spans="1:14" ht="17.399999999999999" customHeight="1">
      <c r="A52" s="209"/>
      <c r="B52" s="560"/>
      <c r="C52" s="560"/>
      <c r="D52" s="560"/>
      <c r="E52" s="560"/>
      <c r="F52" s="560"/>
      <c r="G52" s="560"/>
      <c r="H52" s="560"/>
      <c r="I52" s="101"/>
      <c r="J52" s="209"/>
      <c r="K52" s="645"/>
      <c r="L52" s="645"/>
      <c r="M52" s="645"/>
      <c r="N52" s="101"/>
    </row>
    <row r="53" spans="1:14" ht="17.399999999999999">
      <c r="B53" s="560"/>
      <c r="C53" s="560"/>
      <c r="D53" s="560"/>
      <c r="E53" s="560"/>
      <c r="F53" s="560"/>
      <c r="G53" s="560"/>
      <c r="H53" s="560"/>
      <c r="I53" s="101"/>
      <c r="K53" s="531"/>
      <c r="L53" s="531"/>
      <c r="M53" s="531"/>
      <c r="N53" s="531"/>
    </row>
    <row r="54" spans="1:14" ht="13.8" customHeight="1">
      <c r="B54" s="531"/>
      <c r="C54" s="531"/>
      <c r="D54" s="531"/>
      <c r="E54" s="531"/>
    </row>
    <row r="55" spans="1:14">
      <c r="B55" s="632"/>
      <c r="C55" s="632"/>
      <c r="D55" s="632"/>
      <c r="E55" s="632"/>
      <c r="F55" s="632"/>
      <c r="G55" s="632"/>
      <c r="H55" s="632"/>
      <c r="I55" s="632"/>
    </row>
    <row r="56" spans="1:14">
      <c r="B56" s="632"/>
      <c r="C56" s="632"/>
      <c r="D56" s="632"/>
      <c r="E56" s="632"/>
      <c r="F56" s="632"/>
      <c r="G56" s="632"/>
      <c r="H56" s="632"/>
      <c r="I56" s="632"/>
    </row>
  </sheetData>
  <sheetProtection sheet="1" objects="1" scenarios="1"/>
  <mergeCells count="138">
    <mergeCell ref="K8:O8"/>
    <mergeCell ref="K9:K10"/>
    <mergeCell ref="L9:M10"/>
    <mergeCell ref="N9:O10"/>
    <mergeCell ref="L11:M11"/>
    <mergeCell ref="N11:O11"/>
    <mergeCell ref="L12:M12"/>
    <mergeCell ref="N12:O12"/>
    <mergeCell ref="L13:M13"/>
    <mergeCell ref="N13:O13"/>
    <mergeCell ref="K25:L25"/>
    <mergeCell ref="K26:L26"/>
    <mergeCell ref="L15:M15"/>
    <mergeCell ref="N15:O15"/>
    <mergeCell ref="L16:M16"/>
    <mergeCell ref="N16:O16"/>
    <mergeCell ref="L17:M17"/>
    <mergeCell ref="N17:O17"/>
    <mergeCell ref="L18:M18"/>
    <mergeCell ref="N18:O18"/>
    <mergeCell ref="K28:L28"/>
    <mergeCell ref="K29:L29"/>
    <mergeCell ref="K30:L30"/>
    <mergeCell ref="N26:O26"/>
    <mergeCell ref="N27:O27"/>
    <mergeCell ref="N24:O24"/>
    <mergeCell ref="N25:O25"/>
    <mergeCell ref="K4:O4"/>
    <mergeCell ref="M3:O3"/>
    <mergeCell ref="L19:M19"/>
    <mergeCell ref="N19:O19"/>
    <mergeCell ref="L20:M20"/>
    <mergeCell ref="N20:O20"/>
    <mergeCell ref="L21:M21"/>
    <mergeCell ref="N21:O21"/>
    <mergeCell ref="L22:M22"/>
    <mergeCell ref="N22:O22"/>
    <mergeCell ref="K23:M23"/>
    <mergeCell ref="N23:O23"/>
    <mergeCell ref="L14:M14"/>
    <mergeCell ref="N14:O14"/>
    <mergeCell ref="N7:O7"/>
    <mergeCell ref="N28:O28"/>
    <mergeCell ref="N29:O32"/>
    <mergeCell ref="K32:L32"/>
    <mergeCell ref="K51:M51"/>
    <mergeCell ref="K52:M52"/>
    <mergeCell ref="K48:N48"/>
    <mergeCell ref="K49:M49"/>
    <mergeCell ref="K47:N47"/>
    <mergeCell ref="K45:O45"/>
    <mergeCell ref="K53:N53"/>
    <mergeCell ref="K50:M50"/>
    <mergeCell ref="H43:L43"/>
    <mergeCell ref="M43:O43"/>
    <mergeCell ref="K33:O42"/>
    <mergeCell ref="B44:O44"/>
    <mergeCell ref="B37:D37"/>
    <mergeCell ref="E37:G37"/>
    <mergeCell ref="H37:I37"/>
    <mergeCell ref="B36:D36"/>
    <mergeCell ref="B43:G43"/>
    <mergeCell ref="B40:D40"/>
    <mergeCell ref="E40:G40"/>
    <mergeCell ref="B41:D41"/>
    <mergeCell ref="E41:G41"/>
    <mergeCell ref="K31:L31"/>
    <mergeCell ref="K7:M7"/>
    <mergeCell ref="E11:G11"/>
    <mergeCell ref="H11:I11"/>
    <mergeCell ref="C12:D12"/>
    <mergeCell ref="E12:G12"/>
    <mergeCell ref="H12:I12"/>
    <mergeCell ref="H7:I7"/>
    <mergeCell ref="B8:I8"/>
    <mergeCell ref="B9:I9"/>
    <mergeCell ref="C10:D10"/>
    <mergeCell ref="E10:G10"/>
    <mergeCell ref="H10:I10"/>
    <mergeCell ref="B7:D7"/>
    <mergeCell ref="C11:D11"/>
    <mergeCell ref="E13:G13"/>
    <mergeCell ref="H13:I13"/>
    <mergeCell ref="C13:D13"/>
    <mergeCell ref="B14:G14"/>
    <mergeCell ref="H14:I14"/>
    <mergeCell ref="B16:B17"/>
    <mergeCell ref="C16:C17"/>
    <mergeCell ref="D16:D17"/>
    <mergeCell ref="E16:E17"/>
    <mergeCell ref="J1:L1"/>
    <mergeCell ref="C3:L3"/>
    <mergeCell ref="H2:I2"/>
    <mergeCell ref="E1:I1"/>
    <mergeCell ref="F16:G16"/>
    <mergeCell ref="H16:I16"/>
    <mergeCell ref="E24:F24"/>
    <mergeCell ref="B26:B27"/>
    <mergeCell ref="C26:C27"/>
    <mergeCell ref="D26:D27"/>
    <mergeCell ref="F26:G26"/>
    <mergeCell ref="H26:I26"/>
    <mergeCell ref="B15:C15"/>
    <mergeCell ref="B25:C25"/>
    <mergeCell ref="B1:D1"/>
    <mergeCell ref="B2:G2"/>
    <mergeCell ref="B5:E5"/>
    <mergeCell ref="F5:I5"/>
    <mergeCell ref="K5:O5"/>
    <mergeCell ref="B6:O6"/>
    <mergeCell ref="M1:O1"/>
    <mergeCell ref="K27:L27"/>
    <mergeCell ref="M2:O2"/>
    <mergeCell ref="K24:L24"/>
    <mergeCell ref="A6:A7"/>
    <mergeCell ref="B4:I4"/>
    <mergeCell ref="E26:E27"/>
    <mergeCell ref="B42:I42"/>
    <mergeCell ref="B38:D38"/>
    <mergeCell ref="B56:I56"/>
    <mergeCell ref="B55:I55"/>
    <mergeCell ref="B45:I45"/>
    <mergeCell ref="B47:H47"/>
    <mergeCell ref="B48:H48"/>
    <mergeCell ref="B49:H49"/>
    <mergeCell ref="B50:H50"/>
    <mergeCell ref="B51:H51"/>
    <mergeCell ref="B52:H52"/>
    <mergeCell ref="B53:H53"/>
    <mergeCell ref="B54:E54"/>
    <mergeCell ref="B46:D46"/>
    <mergeCell ref="E34:F34"/>
    <mergeCell ref="B35:C35"/>
    <mergeCell ref="E35:H35"/>
    <mergeCell ref="E38:G38"/>
    <mergeCell ref="H38:I41"/>
    <mergeCell ref="B39:D39"/>
    <mergeCell ref="E39:G39"/>
  </mergeCells>
  <conditionalFormatting sqref="B38:I41 A44:A48 B46:I50">
    <cfRule type="expression" dxfId="104" priority="7">
      <formula>$H$7&lt;&gt;"☑"</formula>
    </cfRule>
  </conditionalFormatting>
  <conditionalFormatting sqref="B8:I36">
    <cfRule type="expression" dxfId="103" priority="3">
      <formula>$H$7&lt;&gt;"☑"</formula>
    </cfRule>
  </conditionalFormatting>
  <conditionalFormatting sqref="K8:O32 J46:O49 K33">
    <cfRule type="expression" dxfId="102" priority="1">
      <formula>$N$7&lt;&gt;"☑"</formula>
    </cfRule>
  </conditionalFormatting>
  <dataValidations count="2">
    <dataValidation type="list" sqref="A1 I47:I53 H7 N49:N52 I15 I25 O47:O48 N46 N7" xr:uid="{00000000-0002-0000-0C00-000000000000}">
      <formula1>"☐,☑"</formula1>
    </dataValidation>
    <dataValidation sqref="E36:E37" xr:uid="{32E0AF16-D93D-4F48-8746-A9381704A760}"/>
  </dataValidation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Z46"/>
  <sheetViews>
    <sheetView zoomScale="90" zoomScaleNormal="90" workbookViewId="0">
      <selection activeCell="F3" sqref="F3"/>
    </sheetView>
  </sheetViews>
  <sheetFormatPr defaultRowHeight="13.8"/>
  <cols>
    <col min="1" max="1" width="13.69921875" style="93" customWidth="1"/>
    <col min="2" max="2" width="21.69921875" style="93" customWidth="1"/>
    <col min="3" max="3" width="18.796875" style="93" customWidth="1"/>
    <col min="4" max="4" width="21.69921875" style="93" customWidth="1"/>
    <col min="5" max="5" width="22" style="93" customWidth="1"/>
    <col min="6" max="6" width="18" style="93" customWidth="1"/>
    <col min="7" max="16384" width="8.796875" style="93"/>
  </cols>
  <sheetData>
    <row r="1" spans="1:26" ht="17.25" customHeight="1">
      <c r="A1" s="91" t="s">
        <v>134</v>
      </c>
      <c r="B1" s="707" t="s">
        <v>163</v>
      </c>
      <c r="C1" s="707"/>
      <c r="D1" s="278">
        <f>F19+F35</f>
        <v>1</v>
      </c>
      <c r="E1" s="92" t="s">
        <v>259</v>
      </c>
      <c r="F1" s="92">
        <f>IF('Project Info'!$C$8="New Hotel",2,2)</f>
        <v>2</v>
      </c>
    </row>
    <row r="2" spans="1:26" ht="34.950000000000003" customHeight="1">
      <c r="A2" s="94"/>
      <c r="B2" s="610" t="s">
        <v>32</v>
      </c>
      <c r="C2" s="610"/>
      <c r="D2" s="610"/>
      <c r="E2" s="95"/>
      <c r="F2" s="203" t="s">
        <v>31</v>
      </c>
      <c r="Z2" s="93">
        <v>37</v>
      </c>
    </row>
    <row r="3" spans="1:26" ht="15.6">
      <c r="A3" s="94"/>
      <c r="B3" s="96" t="s">
        <v>5</v>
      </c>
      <c r="C3" s="96"/>
      <c r="D3" s="97"/>
      <c r="E3" s="97"/>
      <c r="F3" s="97" t="str">
        <f>HYPERLINK("#'Checklist'!A1","Go To Checklist")</f>
        <v>Go To Checklist</v>
      </c>
    </row>
    <row r="4" spans="1:26" ht="52.8" customHeight="1">
      <c r="A4" s="94"/>
      <c r="B4" s="533" t="s">
        <v>710</v>
      </c>
      <c r="C4" s="699"/>
      <c r="D4" s="534"/>
      <c r="E4" s="534"/>
      <c r="F4" s="535"/>
    </row>
    <row r="5" spans="1:26" ht="15.6" customHeight="1">
      <c r="A5" s="94"/>
      <c r="B5" s="732" t="s">
        <v>283</v>
      </c>
      <c r="C5" s="732"/>
      <c r="D5" s="732"/>
      <c r="E5" s="732"/>
      <c r="F5" s="732"/>
    </row>
    <row r="6" spans="1:26" ht="16.8" customHeight="1">
      <c r="A6" s="94"/>
      <c r="B6" s="109" t="s">
        <v>1412</v>
      </c>
      <c r="C6" s="130" t="s">
        <v>1413</v>
      </c>
      <c r="D6" s="130" t="s">
        <v>329</v>
      </c>
      <c r="E6" s="308" t="s">
        <v>1416</v>
      </c>
      <c r="F6" s="308" t="s">
        <v>1414</v>
      </c>
    </row>
    <row r="7" spans="1:26" ht="17.399999999999999">
      <c r="A7" s="94"/>
      <c r="B7" s="147"/>
      <c r="C7" s="143" t="s">
        <v>284</v>
      </c>
      <c r="D7" s="188" t="str">
        <f>IF(C7="Undercounter","≤ 3.2 L/rack",IF(C7="Hood type","≤ 3.3 L/rack",IF(C7="Conveyor","≤ 2.6 L/rack","")))</f>
        <v>≤ 3.2 L/rack</v>
      </c>
      <c r="E7" s="311">
        <v>2</v>
      </c>
      <c r="F7" s="312" t="str">
        <f>IF(E7="","",IF(OR(AND(C7="Undercounter",E7&lt;=3.2),AND(C7="Hood type",E7&lt;=3.3),AND(C7="Conveyor",E7&lt;=2.6)),"✓","✗"))</f>
        <v>✓</v>
      </c>
    </row>
    <row r="8" spans="1:26" ht="17.399999999999999">
      <c r="A8" s="94"/>
      <c r="B8" s="147"/>
      <c r="C8" s="143"/>
      <c r="D8" s="188" t="str">
        <f>IF(C8="Undercounter","= 3.2 L/rack",IF(C8="Hood type","= 3.3 L/rack",IF(C8="Conveyor","= 2.6 L/rack","")))</f>
        <v/>
      </c>
      <c r="E8" s="311"/>
      <c r="F8" s="312" t="str">
        <f>IF(E8="","",IF(OR(AND(C8="Undercounter",E8&lt;=3.2),AND(C8="Hood type",E8&lt;=3.3),AND(C8="Conveyor",E8&lt;=2.6)),"?","?"))</f>
        <v/>
      </c>
    </row>
    <row r="9" spans="1:26" ht="17.399999999999999">
      <c r="A9" s="94"/>
      <c r="B9" s="147"/>
      <c r="C9" s="143"/>
      <c r="D9" s="188" t="str">
        <f t="shared" ref="D9:D17" si="0">IF(C9="Undercounter","≤ 3.2 L/rack",IF(C9="Hood type","≤ 3.3 L/rack",IF(C9="Conveyor","≤ 2.6 L/rack","")))</f>
        <v/>
      </c>
      <c r="E9" s="311"/>
      <c r="F9" s="312" t="str">
        <f t="shared" ref="F9:F17" si="1">IF(E9="","",IF(OR(AND(C9="Undercounter",E9&lt;=3.2),AND(C9="Hood type",E9&lt;=3.3),AND(C9="Conveyor",E9&lt;=2.6)),"✓","✗"))</f>
        <v/>
      </c>
    </row>
    <row r="10" spans="1:26" ht="17.399999999999999">
      <c r="A10" s="94"/>
      <c r="B10" s="147"/>
      <c r="C10" s="143"/>
      <c r="D10" s="188" t="str">
        <f t="shared" si="0"/>
        <v/>
      </c>
      <c r="E10" s="311"/>
      <c r="F10" s="312" t="str">
        <f t="shared" si="1"/>
        <v/>
      </c>
    </row>
    <row r="11" spans="1:26" ht="17.399999999999999">
      <c r="A11" s="94"/>
      <c r="B11" s="147"/>
      <c r="C11" s="143"/>
      <c r="D11" s="188" t="str">
        <f t="shared" si="0"/>
        <v/>
      </c>
      <c r="E11" s="311"/>
      <c r="F11" s="312" t="str">
        <f t="shared" si="1"/>
        <v/>
      </c>
    </row>
    <row r="12" spans="1:26" ht="17.399999999999999">
      <c r="A12" s="94"/>
      <c r="B12" s="147"/>
      <c r="C12" s="143"/>
      <c r="D12" s="188" t="str">
        <f t="shared" si="0"/>
        <v/>
      </c>
      <c r="E12" s="311"/>
      <c r="F12" s="312" t="str">
        <f t="shared" si="1"/>
        <v/>
      </c>
    </row>
    <row r="13" spans="1:26" ht="17.399999999999999">
      <c r="A13" s="94"/>
      <c r="B13" s="147"/>
      <c r="C13" s="143"/>
      <c r="D13" s="188" t="str">
        <f t="shared" si="0"/>
        <v/>
      </c>
      <c r="E13" s="311"/>
      <c r="F13" s="312" t="str">
        <f t="shared" si="1"/>
        <v/>
      </c>
    </row>
    <row r="14" spans="1:26" ht="17.399999999999999">
      <c r="A14" s="94"/>
      <c r="B14" s="147"/>
      <c r="C14" s="143"/>
      <c r="D14" s="188" t="str">
        <f t="shared" si="0"/>
        <v/>
      </c>
      <c r="E14" s="311"/>
      <c r="F14" s="312" t="str">
        <f t="shared" si="1"/>
        <v/>
      </c>
    </row>
    <row r="15" spans="1:26" ht="17.399999999999999">
      <c r="A15" s="94"/>
      <c r="B15" s="147"/>
      <c r="C15" s="143"/>
      <c r="D15" s="188" t="str">
        <f t="shared" si="0"/>
        <v/>
      </c>
      <c r="E15" s="311"/>
      <c r="F15" s="312" t="str">
        <f t="shared" si="1"/>
        <v/>
      </c>
    </row>
    <row r="16" spans="1:26" ht="17.399999999999999">
      <c r="A16" s="94"/>
      <c r="B16" s="147"/>
      <c r="C16" s="143"/>
      <c r="D16" s="188" t="str">
        <f t="shared" si="0"/>
        <v/>
      </c>
      <c r="E16" s="311"/>
      <c r="F16" s="312" t="str">
        <f t="shared" si="1"/>
        <v/>
      </c>
    </row>
    <row r="17" spans="1:6" ht="17.399999999999999">
      <c r="A17" s="94"/>
      <c r="B17" s="147"/>
      <c r="C17" s="143"/>
      <c r="D17" s="188" t="str">
        <f t="shared" si="0"/>
        <v/>
      </c>
      <c r="E17" s="311"/>
      <c r="F17" s="312" t="str">
        <f t="shared" si="1"/>
        <v/>
      </c>
    </row>
    <row r="18" spans="1:6" ht="17.399999999999999">
      <c r="A18" s="94"/>
      <c r="B18" s="147"/>
      <c r="C18" s="143"/>
      <c r="D18" s="188" t="str">
        <f>IF(C18="Undercounter","= 3.2 L/rack",IF(C18="Hood type","= 3.3 L/rack",IF(C18="Conveyor","= 2.6 L/rack","")))</f>
        <v/>
      </c>
      <c r="E18" s="311"/>
      <c r="F18" s="312" t="str">
        <f>IF(E18="","",IF(OR(AND(C18="Undercounter",E18&lt;=3.2),AND(C18="Hood type",E18&lt;=3.3),AND(C18="Conveyor",E18&lt;=2.6)),"?","?"))</f>
        <v/>
      </c>
    </row>
    <row r="19" spans="1:6" ht="27" customHeight="1">
      <c r="A19" s="94"/>
      <c r="B19" s="145" t="s">
        <v>163</v>
      </c>
      <c r="C19" s="585" t="s">
        <v>1360</v>
      </c>
      <c r="D19" s="585"/>
      <c r="E19" s="146" t="s">
        <v>603</v>
      </c>
      <c r="F19" s="14">
        <f>IF(COUNTIF(F7:F18,"✓")=0,0,IF(COUNTIF(F7:F18,"✗")=0,1,0))</f>
        <v>1</v>
      </c>
    </row>
    <row r="20" spans="1:6" ht="15.6" customHeight="1">
      <c r="A20" s="94"/>
      <c r="B20" s="616" t="s">
        <v>917</v>
      </c>
      <c r="C20" s="616"/>
      <c r="D20" s="616"/>
      <c r="E20" s="616"/>
      <c r="F20" s="616"/>
    </row>
    <row r="21" spans="1:6" ht="15.6" customHeight="1">
      <c r="A21" s="94"/>
      <c r="B21" s="732" t="s">
        <v>286</v>
      </c>
      <c r="C21" s="732"/>
      <c r="D21" s="732"/>
      <c r="E21" s="732"/>
      <c r="F21" s="732"/>
    </row>
    <row r="22" spans="1:6" ht="26.85" customHeight="1">
      <c r="A22" s="94"/>
      <c r="B22" s="166" t="s">
        <v>1415</v>
      </c>
      <c r="C22" s="167" t="s">
        <v>1417</v>
      </c>
      <c r="D22" s="167" t="s">
        <v>1418</v>
      </c>
      <c r="E22" s="309" t="s">
        <v>1419</v>
      </c>
      <c r="F22" s="309" t="s">
        <v>1414</v>
      </c>
    </row>
    <row r="23" spans="1:6" ht="17.399999999999999">
      <c r="A23" s="94"/>
      <c r="B23" s="147"/>
      <c r="C23" s="143"/>
      <c r="D23" s="144"/>
      <c r="E23" s="263" t="str">
        <f>IFERROR(C23/D23,"")</f>
        <v/>
      </c>
      <c r="F23" s="312" t="str">
        <f>IF(E23="","",IF(E23&lt;2.6,"✓","✗"))</f>
        <v/>
      </c>
    </row>
    <row r="24" spans="1:6" ht="17.399999999999999">
      <c r="A24" s="94"/>
      <c r="B24" s="147"/>
      <c r="C24" s="143"/>
      <c r="D24" s="144"/>
      <c r="E24" s="263" t="str">
        <f t="shared" ref="E24:E30" si="2">IFERROR(C24/D24,"")</f>
        <v/>
      </c>
      <c r="F24" s="312" t="str">
        <f t="shared" ref="F24:F32" si="3">IF(E24="","",IF(E24&lt;2.6,"✓","✗"))</f>
        <v/>
      </c>
    </row>
    <row r="25" spans="1:6" ht="17.399999999999999" customHeight="1">
      <c r="A25" s="94"/>
      <c r="B25" s="147"/>
      <c r="C25" s="143"/>
      <c r="D25" s="144"/>
      <c r="E25" s="263" t="str">
        <f t="shared" si="2"/>
        <v/>
      </c>
      <c r="F25" s="312" t="str">
        <f t="shared" si="3"/>
        <v/>
      </c>
    </row>
    <row r="26" spans="1:6" ht="17.399999999999999" customHeight="1">
      <c r="A26" s="94"/>
      <c r="B26" s="147"/>
      <c r="C26" s="143"/>
      <c r="D26" s="144"/>
      <c r="E26" s="263" t="str">
        <f t="shared" si="2"/>
        <v/>
      </c>
      <c r="F26" s="312" t="str">
        <f t="shared" si="3"/>
        <v/>
      </c>
    </row>
    <row r="27" spans="1:6" ht="17.399999999999999" customHeight="1">
      <c r="A27" s="94"/>
      <c r="B27" s="147"/>
      <c r="C27" s="143"/>
      <c r="D27" s="144"/>
      <c r="E27" s="263" t="str">
        <f t="shared" si="2"/>
        <v/>
      </c>
      <c r="F27" s="312" t="str">
        <f t="shared" si="3"/>
        <v/>
      </c>
    </row>
    <row r="28" spans="1:6" ht="17.399999999999999" customHeight="1">
      <c r="A28" s="94"/>
      <c r="B28" s="147"/>
      <c r="C28" s="143"/>
      <c r="D28" s="144"/>
      <c r="E28" s="263" t="str">
        <f t="shared" si="2"/>
        <v/>
      </c>
      <c r="F28" s="312" t="str">
        <f t="shared" si="3"/>
        <v/>
      </c>
    </row>
    <row r="29" spans="1:6" ht="17.399999999999999">
      <c r="A29" s="94"/>
      <c r="B29" s="147"/>
      <c r="C29" s="143"/>
      <c r="D29" s="144"/>
      <c r="E29" s="263" t="str">
        <f t="shared" si="2"/>
        <v/>
      </c>
      <c r="F29" s="312" t="str">
        <f t="shared" si="3"/>
        <v/>
      </c>
    </row>
    <row r="30" spans="1:6" ht="17.399999999999999" customHeight="1">
      <c r="A30" s="94"/>
      <c r="B30" s="147"/>
      <c r="C30" s="143"/>
      <c r="D30" s="144"/>
      <c r="E30" s="263" t="str">
        <f t="shared" si="2"/>
        <v/>
      </c>
      <c r="F30" s="312" t="str">
        <f t="shared" si="3"/>
        <v/>
      </c>
    </row>
    <row r="31" spans="1:6" ht="17.399999999999999">
      <c r="B31" s="147"/>
      <c r="C31" s="143"/>
      <c r="D31" s="144"/>
      <c r="E31" s="263"/>
      <c r="F31" s="312" t="str">
        <f t="shared" si="3"/>
        <v/>
      </c>
    </row>
    <row r="32" spans="1:6" ht="17.399999999999999">
      <c r="B32" s="147"/>
      <c r="C32" s="143"/>
      <c r="D32" s="144"/>
      <c r="E32" s="263"/>
      <c r="F32" s="312" t="str">
        <f t="shared" si="3"/>
        <v/>
      </c>
    </row>
    <row r="33" spans="2:6" ht="17.399999999999999">
      <c r="B33" s="147"/>
      <c r="C33" s="143"/>
      <c r="D33" s="144"/>
      <c r="E33" s="263"/>
      <c r="F33" s="312" t="str">
        <f t="shared" ref="F33" si="4">IF(E33="","",IF(E33&lt;2.6,"✓","✗"))</f>
        <v/>
      </c>
    </row>
    <row r="34" spans="2:6" ht="22.8" customHeight="1">
      <c r="B34" s="147"/>
      <c r="C34" s="143"/>
      <c r="D34" s="144"/>
      <c r="E34" s="263"/>
      <c r="F34" s="312" t="str">
        <f t="shared" ref="F34" si="5">IF(E34="","",IF(E34&lt;2.6,"✓","✗"))</f>
        <v/>
      </c>
    </row>
    <row r="35" spans="2:6" ht="15">
      <c r="B35" s="145" t="s">
        <v>329</v>
      </c>
      <c r="C35" s="585" t="s">
        <v>1420</v>
      </c>
      <c r="D35" s="585"/>
      <c r="E35" s="146" t="s">
        <v>603</v>
      </c>
      <c r="F35" s="476">
        <f>IF(COUNTIF(F23:F34,"✓")=0,0,IF(COUNTIF(F23:F34,"✗")=0,1,0))</f>
        <v>0</v>
      </c>
    </row>
    <row r="36" spans="2:6">
      <c r="B36" s="539" t="s">
        <v>32</v>
      </c>
      <c r="C36" s="539"/>
      <c r="D36" s="539"/>
      <c r="E36" s="275" t="s">
        <v>189</v>
      </c>
      <c r="F36" s="233"/>
    </row>
    <row r="37" spans="2:6">
      <c r="B37" s="97"/>
      <c r="C37" s="97"/>
      <c r="D37" s="97"/>
      <c r="E37" s="97"/>
      <c r="F37" s="97"/>
    </row>
    <row r="38" spans="2:6">
      <c r="B38" s="466" t="s">
        <v>1661</v>
      </c>
      <c r="C38" s="466"/>
      <c r="D38" s="466"/>
      <c r="E38" s="466"/>
      <c r="F38" s="475"/>
    </row>
    <row r="39" spans="2:6" ht="17.399999999999999">
      <c r="B39" s="538" t="s">
        <v>745</v>
      </c>
      <c r="C39" s="538"/>
      <c r="D39" s="538"/>
      <c r="E39" s="538"/>
      <c r="F39" s="101" t="s">
        <v>139</v>
      </c>
    </row>
    <row r="40" spans="2:6" ht="17.399999999999999">
      <c r="B40" s="538" t="s">
        <v>746</v>
      </c>
      <c r="C40" s="538"/>
      <c r="D40" s="538"/>
      <c r="E40" s="538"/>
      <c r="F40" s="101" t="s">
        <v>139</v>
      </c>
    </row>
    <row r="41" spans="2:6" ht="17.399999999999999">
      <c r="B41" s="538" t="s">
        <v>747</v>
      </c>
      <c r="C41" s="538"/>
      <c r="D41" s="538"/>
      <c r="E41" s="538"/>
      <c r="F41" s="101" t="s">
        <v>139</v>
      </c>
    </row>
    <row r="42" spans="2:6">
      <c r="B42" s="645" t="s">
        <v>147</v>
      </c>
      <c r="C42" s="645"/>
      <c r="D42" s="645"/>
      <c r="E42" s="645"/>
    </row>
    <row r="43" spans="2:6">
      <c r="B43" s="97"/>
      <c r="C43" s="97"/>
      <c r="D43" s="97"/>
      <c r="E43" s="97"/>
    </row>
    <row r="44" spans="2:6">
      <c r="B44" s="97"/>
      <c r="C44" s="97"/>
      <c r="D44" s="97"/>
      <c r="E44" s="97"/>
    </row>
    <row r="45" spans="2:6">
      <c r="B45" s="97"/>
      <c r="C45" s="97"/>
      <c r="D45" s="97"/>
      <c r="E45" s="97"/>
    </row>
    <row r="46" spans="2:6">
      <c r="B46" s="97"/>
      <c r="C46" s="97"/>
      <c r="D46" s="97"/>
      <c r="E46" s="97"/>
    </row>
  </sheetData>
  <mergeCells count="13">
    <mergeCell ref="B42:E42"/>
    <mergeCell ref="B36:D36"/>
    <mergeCell ref="B21:F21"/>
    <mergeCell ref="B39:E39"/>
    <mergeCell ref="B40:E40"/>
    <mergeCell ref="B41:E41"/>
    <mergeCell ref="B1:C1"/>
    <mergeCell ref="C19:D19"/>
    <mergeCell ref="C35:D35"/>
    <mergeCell ref="B20:F20"/>
    <mergeCell ref="B5:F5"/>
    <mergeCell ref="B2:D2"/>
    <mergeCell ref="B4:F4"/>
  </mergeCells>
  <dataValidations count="4">
    <dataValidation type="decimal" sqref="D1" xr:uid="{00000000-0002-0000-0D00-000000000000}">
      <formula1>0</formula1>
      <formula2>2</formula2>
    </dataValidation>
    <dataValidation type="list" sqref="A1 F39:F41" xr:uid="{00000000-0002-0000-0D00-000001000000}">
      <formula1>"☐,☑"</formula1>
    </dataValidation>
    <dataValidation sqref="F35 E7:F18 E23:F34" xr:uid="{A039D8BE-30E8-4363-8934-0E65D3C1D5F2}"/>
    <dataValidation type="list" allowBlank="1" showInputMessage="1" showErrorMessage="1" sqref="C7:C18" xr:uid="{33924A3A-6DC5-484A-8E16-6548A1D7BF52}">
      <formula1>"Undercounter, Hood type, Conveyor"</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2228" r:id="rId4" name="Button 4">
              <controlPr defaultSize="0" print="0" autoFill="0" autoPict="0" macro="[0]!Add_PotPan_Row">
                <anchor moveWithCells="1" sizeWithCells="1">
                  <from>
                    <xdr:col>0</xdr:col>
                    <xdr:colOff>60960</xdr:colOff>
                    <xdr:row>31</xdr:row>
                    <xdr:rowOff>91440</xdr:rowOff>
                  </from>
                  <to>
                    <xdr:col>0</xdr:col>
                    <xdr:colOff>1013460</xdr:colOff>
                    <xdr:row>32</xdr:row>
                    <xdr:rowOff>175260</xdr:rowOff>
                  </to>
                </anchor>
              </controlPr>
            </control>
          </mc:Choice>
        </mc:AlternateContent>
        <mc:AlternateContent xmlns:mc="http://schemas.openxmlformats.org/markup-compatibility/2006">
          <mc:Choice Requires="x14">
            <control shapeId="52669" r:id="rId5" name="Button 445">
              <controlPr defaultSize="0" print="0" autoFill="0" autoPict="0" macro="[0]!Module3.Add_Dishwasher_Row">
                <anchor moveWithCells="1" sizeWithCells="1">
                  <from>
                    <xdr:col>0</xdr:col>
                    <xdr:colOff>15240</xdr:colOff>
                    <xdr:row>16</xdr:row>
                    <xdr:rowOff>53340</xdr:rowOff>
                  </from>
                  <to>
                    <xdr:col>0</xdr:col>
                    <xdr:colOff>990600</xdr:colOff>
                    <xdr:row>17</xdr:row>
                    <xdr:rowOff>91440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O74"/>
  <sheetViews>
    <sheetView zoomScale="90" zoomScaleNormal="90" workbookViewId="0">
      <selection activeCell="G13" sqref="G13"/>
    </sheetView>
  </sheetViews>
  <sheetFormatPr defaultRowHeight="13.8"/>
  <cols>
    <col min="1" max="1" width="13" style="93" customWidth="1"/>
    <col min="2" max="2" width="19.3984375" style="93" customWidth="1"/>
    <col min="3" max="3" width="19.8984375" style="93" customWidth="1"/>
    <col min="4" max="4" width="22.796875" style="93" customWidth="1"/>
    <col min="5" max="5" width="22.19921875" style="93" customWidth="1"/>
    <col min="6" max="6" width="19" style="93" customWidth="1"/>
    <col min="7" max="7" width="8.796875" style="93"/>
    <col min="8" max="8" width="20.5" style="93" customWidth="1"/>
    <col min="9" max="9" width="25.796875" style="93" customWidth="1"/>
    <col min="10" max="10" width="24.296875" style="93" customWidth="1"/>
    <col min="11" max="11" width="23.8984375" style="93" customWidth="1"/>
    <col min="12" max="12" width="27.09765625" style="93" customWidth="1"/>
    <col min="13" max="16384" width="8.796875" style="93"/>
  </cols>
  <sheetData>
    <row r="1" spans="1:15" ht="18.149999999999999" customHeight="1">
      <c r="A1" s="91" t="s">
        <v>134</v>
      </c>
      <c r="B1" s="598" t="s">
        <v>163</v>
      </c>
      <c r="C1" s="598"/>
      <c r="D1" s="738">
        <f>IF(OR(F21=1,L27=1),1,0)+IF(F25="☑",1,0)</f>
        <v>0</v>
      </c>
      <c r="E1" s="738"/>
      <c r="F1" s="738"/>
      <c r="G1" s="598" t="s">
        <v>259</v>
      </c>
      <c r="H1" s="598"/>
      <c r="I1" s="598"/>
      <c r="J1" s="737">
        <v>2</v>
      </c>
      <c r="K1" s="737"/>
      <c r="L1" s="737"/>
    </row>
    <row r="2" spans="1:15" ht="34.049999999999997" customHeight="1">
      <c r="A2" s="94"/>
      <c r="B2" s="610" t="s">
        <v>34</v>
      </c>
      <c r="C2" s="610"/>
      <c r="D2" s="610"/>
      <c r="E2" s="95"/>
      <c r="F2" s="601"/>
      <c r="G2" s="601"/>
      <c r="H2" s="601"/>
      <c r="I2" s="601"/>
      <c r="J2" s="601"/>
      <c r="K2" s="95"/>
      <c r="L2" s="138" t="s">
        <v>33</v>
      </c>
    </row>
    <row r="3" spans="1:15" ht="15" customHeight="1">
      <c r="A3" s="94"/>
      <c r="B3" s="96" t="s">
        <v>5</v>
      </c>
      <c r="C3" s="96"/>
      <c r="D3" s="97"/>
      <c r="E3" s="97"/>
      <c r="F3" s="97"/>
      <c r="H3" s="96"/>
      <c r="I3" s="96"/>
      <c r="J3" s="97"/>
      <c r="K3" s="97"/>
      <c r="L3" s="97" t="str">
        <f>HYPERLINK("#'Checklist'!A1","Go To Checklist")</f>
        <v>Go To Checklist</v>
      </c>
    </row>
    <row r="4" spans="1:15" ht="54" customHeight="1">
      <c r="A4" s="94"/>
      <c r="B4" s="533" t="s">
        <v>710</v>
      </c>
      <c r="C4" s="699"/>
      <c r="D4" s="534"/>
      <c r="E4" s="534"/>
      <c r="F4" s="535"/>
      <c r="H4" s="533" t="s">
        <v>710</v>
      </c>
      <c r="I4" s="699"/>
      <c r="J4" s="534"/>
      <c r="K4" s="534"/>
      <c r="L4" s="535"/>
    </row>
    <row r="5" spans="1:15" ht="18.600000000000001" customHeight="1">
      <c r="A5" s="94"/>
      <c r="B5" s="745" t="s">
        <v>931</v>
      </c>
      <c r="C5" s="745"/>
      <c r="D5" s="745"/>
      <c r="E5" s="745"/>
      <c r="F5" s="745"/>
      <c r="G5" s="92"/>
      <c r="H5" s="656" t="s">
        <v>931</v>
      </c>
      <c r="I5" s="656"/>
      <c r="J5" s="656"/>
      <c r="K5" s="656"/>
      <c r="L5" s="656"/>
      <c r="M5" s="227"/>
      <c r="N5" s="227"/>
      <c r="O5" s="227"/>
    </row>
    <row r="6" spans="1:15" ht="19.2" customHeight="1">
      <c r="A6" s="94"/>
      <c r="B6" s="657" t="s">
        <v>1669</v>
      </c>
      <c r="C6" s="657"/>
      <c r="D6" s="657"/>
      <c r="E6" s="657"/>
      <c r="F6" s="657"/>
      <c r="G6" s="657"/>
      <c r="H6" s="657"/>
      <c r="I6" s="657"/>
      <c r="J6" s="657"/>
      <c r="K6" s="657"/>
      <c r="L6" s="657"/>
      <c r="M6" s="313"/>
      <c r="N6" s="313"/>
      <c r="O6" s="313"/>
    </row>
    <row r="7" spans="1:15" ht="30" customHeight="1">
      <c r="A7" s="94"/>
      <c r="B7" s="746" t="s">
        <v>287</v>
      </c>
      <c r="C7" s="746"/>
      <c r="D7" s="746"/>
      <c r="E7" s="746"/>
      <c r="F7" s="101" t="s">
        <v>134</v>
      </c>
      <c r="G7" s="315" t="s">
        <v>816</v>
      </c>
      <c r="H7" s="746" t="s">
        <v>1436</v>
      </c>
      <c r="I7" s="746"/>
      <c r="J7" s="746"/>
      <c r="K7" s="746"/>
      <c r="L7" s="101" t="s">
        <v>134</v>
      </c>
    </row>
    <row r="8" spans="1:15" ht="30" customHeight="1">
      <c r="A8" s="94"/>
      <c r="B8" s="166" t="s">
        <v>1421</v>
      </c>
      <c r="C8" s="167" t="s">
        <v>1422</v>
      </c>
      <c r="D8" s="167" t="s">
        <v>1423</v>
      </c>
      <c r="E8" s="309" t="s">
        <v>1424</v>
      </c>
      <c r="F8" s="316" t="s">
        <v>1414</v>
      </c>
      <c r="G8" s="317"/>
      <c r="H8" s="730" t="s">
        <v>533</v>
      </c>
      <c r="I8" s="731" t="s">
        <v>1409</v>
      </c>
      <c r="J8" s="731"/>
      <c r="K8" s="731" t="s">
        <v>1437</v>
      </c>
      <c r="L8" s="731"/>
    </row>
    <row r="9" spans="1:15" ht="30" customHeight="1">
      <c r="A9" s="94"/>
      <c r="B9" s="147"/>
      <c r="C9" s="143"/>
      <c r="D9" s="143"/>
      <c r="E9" s="263" t="str">
        <f>IFERROR(C9/D9,"")</f>
        <v/>
      </c>
      <c r="F9" s="312" t="str">
        <f>IF(E9="","",IF(E9&lt;534.6,"✓","✗"))</f>
        <v/>
      </c>
      <c r="H9" s="730"/>
      <c r="I9" s="731"/>
      <c r="J9" s="731"/>
      <c r="K9" s="731"/>
      <c r="L9" s="731"/>
    </row>
    <row r="10" spans="1:15" ht="30" customHeight="1">
      <c r="A10" s="94"/>
      <c r="B10" s="147"/>
      <c r="C10" s="143"/>
      <c r="D10" s="143"/>
      <c r="E10" s="263" t="str">
        <f t="shared" ref="E10:E19" si="0">IFERROR(C10/D10,"")</f>
        <v/>
      </c>
      <c r="F10" s="312" t="str">
        <f t="shared" ref="F10:F19" si="1">IF(E10="","",IF(E10&lt;534.6,"✓","✗"))</f>
        <v/>
      </c>
      <c r="H10" s="218" t="s">
        <v>1032</v>
      </c>
      <c r="I10" s="655"/>
      <c r="J10" s="655"/>
      <c r="K10" s="655"/>
      <c r="L10" s="655"/>
    </row>
    <row r="11" spans="1:15" ht="30" customHeight="1">
      <c r="A11" s="94"/>
      <c r="B11" s="147"/>
      <c r="C11" s="143"/>
      <c r="D11" s="143"/>
      <c r="E11" s="263" t="str">
        <f t="shared" si="0"/>
        <v/>
      </c>
      <c r="F11" s="312" t="str">
        <f t="shared" si="1"/>
        <v/>
      </c>
      <c r="H11" s="218" t="s">
        <v>1033</v>
      </c>
      <c r="I11" s="655"/>
      <c r="J11" s="655"/>
      <c r="K11" s="655"/>
      <c r="L11" s="655"/>
    </row>
    <row r="12" spans="1:15" ht="30" customHeight="1">
      <c r="A12" s="94"/>
      <c r="B12" s="147"/>
      <c r="C12" s="143"/>
      <c r="D12" s="143"/>
      <c r="E12" s="263" t="str">
        <f t="shared" si="0"/>
        <v/>
      </c>
      <c r="F12" s="312" t="str">
        <f t="shared" si="1"/>
        <v/>
      </c>
      <c r="H12" s="218" t="s">
        <v>1034</v>
      </c>
      <c r="I12" s="655"/>
      <c r="J12" s="655"/>
      <c r="K12" s="655"/>
      <c r="L12" s="655"/>
    </row>
    <row r="13" spans="1:15" ht="30" customHeight="1">
      <c r="A13" s="94"/>
      <c r="B13" s="147"/>
      <c r="C13" s="143"/>
      <c r="D13" s="143"/>
      <c r="E13" s="263" t="str">
        <f t="shared" si="0"/>
        <v/>
      </c>
      <c r="F13" s="312" t="str">
        <f t="shared" si="1"/>
        <v/>
      </c>
      <c r="H13" s="218" t="s">
        <v>1035</v>
      </c>
      <c r="I13" s="655"/>
      <c r="J13" s="655"/>
      <c r="K13" s="655"/>
      <c r="L13" s="655"/>
    </row>
    <row r="14" spans="1:15" ht="30" customHeight="1">
      <c r="A14" s="94"/>
      <c r="B14" s="147"/>
      <c r="C14" s="143"/>
      <c r="D14" s="143"/>
      <c r="E14" s="263" t="str">
        <f t="shared" si="0"/>
        <v/>
      </c>
      <c r="F14" s="312" t="str">
        <f t="shared" si="1"/>
        <v/>
      </c>
      <c r="H14" s="218" t="s">
        <v>1036</v>
      </c>
      <c r="I14" s="655"/>
      <c r="J14" s="655"/>
      <c r="K14" s="655"/>
      <c r="L14" s="655"/>
    </row>
    <row r="15" spans="1:15" ht="30" customHeight="1">
      <c r="A15" s="94"/>
      <c r="B15" s="147"/>
      <c r="C15" s="143"/>
      <c r="D15" s="143"/>
      <c r="E15" s="263" t="str">
        <f t="shared" si="0"/>
        <v/>
      </c>
      <c r="F15" s="312" t="str">
        <f t="shared" si="1"/>
        <v/>
      </c>
      <c r="H15" s="218" t="s">
        <v>1037</v>
      </c>
      <c r="I15" s="655"/>
      <c r="J15" s="655"/>
      <c r="K15" s="655"/>
      <c r="L15" s="655"/>
    </row>
    <row r="16" spans="1:15" ht="30" customHeight="1">
      <c r="A16" s="94"/>
      <c r="B16" s="147"/>
      <c r="C16" s="143"/>
      <c r="D16" s="143"/>
      <c r="E16" s="263" t="str">
        <f t="shared" si="0"/>
        <v/>
      </c>
      <c r="F16" s="312" t="str">
        <f t="shared" si="1"/>
        <v/>
      </c>
      <c r="H16" s="218" t="s">
        <v>1038</v>
      </c>
      <c r="I16" s="655"/>
      <c r="J16" s="655"/>
      <c r="K16" s="655"/>
      <c r="L16" s="655"/>
    </row>
    <row r="17" spans="1:12" ht="30" customHeight="1">
      <c r="A17" s="94"/>
      <c r="B17" s="147"/>
      <c r="C17" s="143"/>
      <c r="D17" s="143"/>
      <c r="E17" s="263" t="str">
        <f t="shared" si="0"/>
        <v/>
      </c>
      <c r="F17" s="312" t="str">
        <f t="shared" si="1"/>
        <v/>
      </c>
      <c r="H17" s="218" t="s">
        <v>1039</v>
      </c>
      <c r="I17" s="655"/>
      <c r="J17" s="655"/>
      <c r="K17" s="655"/>
      <c r="L17" s="655"/>
    </row>
    <row r="18" spans="1:12" ht="30" customHeight="1">
      <c r="A18" s="94"/>
      <c r="B18" s="147"/>
      <c r="C18" s="143"/>
      <c r="D18" s="143"/>
      <c r="E18" s="263" t="str">
        <f t="shared" si="0"/>
        <v/>
      </c>
      <c r="F18" s="312" t="str">
        <f t="shared" si="1"/>
        <v/>
      </c>
      <c r="H18" s="218" t="s">
        <v>1040</v>
      </c>
      <c r="I18" s="655"/>
      <c r="J18" s="655"/>
      <c r="K18" s="655"/>
      <c r="L18" s="655"/>
    </row>
    <row r="19" spans="1:12" ht="30" customHeight="1">
      <c r="A19" s="94"/>
      <c r="B19" s="147"/>
      <c r="C19" s="143"/>
      <c r="D19" s="143"/>
      <c r="E19" s="263" t="str">
        <f t="shared" si="0"/>
        <v/>
      </c>
      <c r="F19" s="312" t="str">
        <f t="shared" si="1"/>
        <v/>
      </c>
      <c r="H19" s="218" t="s">
        <v>1041</v>
      </c>
      <c r="I19" s="655"/>
      <c r="J19" s="655"/>
      <c r="K19" s="655"/>
      <c r="L19" s="655"/>
    </row>
    <row r="20" spans="1:12" ht="30" customHeight="1">
      <c r="A20" s="94"/>
      <c r="B20" s="147"/>
      <c r="C20" s="143"/>
      <c r="D20" s="143"/>
      <c r="E20" s="263" t="str">
        <f t="shared" ref="E20" si="2">IFERROR(C20/D20,"")</f>
        <v/>
      </c>
      <c r="F20" s="312" t="str">
        <f t="shared" ref="F20" si="3">IF(E20="","",IF(E20&lt;534.6,"✓","✗"))</f>
        <v/>
      </c>
      <c r="H20" s="218" t="s">
        <v>1042</v>
      </c>
      <c r="I20" s="655"/>
      <c r="J20" s="655"/>
      <c r="K20" s="655"/>
      <c r="L20" s="655"/>
    </row>
    <row r="21" spans="1:12" ht="30" customHeight="1">
      <c r="A21" s="94"/>
      <c r="B21" s="145" t="s">
        <v>329</v>
      </c>
      <c r="C21" s="733" t="s">
        <v>1425</v>
      </c>
      <c r="D21" s="733"/>
      <c r="E21" s="146" t="s">
        <v>603</v>
      </c>
      <c r="F21" s="14">
        <f>IF(COUNTIF(F9:F20,"✓")=0,0,IF(COUNTIF(F9:F20,"✗")=0,1,0))</f>
        <v>0</v>
      </c>
      <c r="H21" s="218" t="s">
        <v>1043</v>
      </c>
      <c r="I21" s="655"/>
      <c r="J21" s="655"/>
      <c r="K21" s="655"/>
      <c r="L21" s="655"/>
    </row>
    <row r="22" spans="1:12" ht="30" customHeight="1">
      <c r="B22" s="471" t="s">
        <v>917</v>
      </c>
      <c r="C22" s="471"/>
      <c r="D22" s="471"/>
      <c r="E22" s="471"/>
      <c r="F22" s="471"/>
      <c r="H22" s="634" t="s">
        <v>288</v>
      </c>
      <c r="I22" s="634"/>
      <c r="J22" s="218" t="s">
        <v>289</v>
      </c>
      <c r="K22" s="677">
        <f>SUM(K10:L21)</f>
        <v>0</v>
      </c>
      <c r="L22" s="677"/>
    </row>
    <row r="23" spans="1:12" ht="30" customHeight="1">
      <c r="B23" s="732" t="s">
        <v>1430</v>
      </c>
      <c r="C23" s="732"/>
      <c r="D23" s="732"/>
      <c r="E23" s="732"/>
      <c r="F23" s="732"/>
      <c r="H23" s="634" t="s">
        <v>1438</v>
      </c>
      <c r="I23" s="634"/>
      <c r="J23" s="143" t="s">
        <v>620</v>
      </c>
      <c r="K23" s="725"/>
      <c r="L23" s="725"/>
    </row>
    <row r="24" spans="1:12" ht="30" customHeight="1">
      <c r="B24" s="740" t="s">
        <v>940</v>
      </c>
      <c r="C24" s="740"/>
      <c r="D24" s="741" t="s">
        <v>329</v>
      </c>
      <c r="E24" s="741"/>
      <c r="F24" s="308" t="s">
        <v>137</v>
      </c>
      <c r="H24" s="634" t="s">
        <v>290</v>
      </c>
      <c r="I24" s="634"/>
      <c r="J24" s="143" t="s">
        <v>291</v>
      </c>
      <c r="K24" s="729">
        <f>IFERROR(K22/K23,0)</f>
        <v>0</v>
      </c>
      <c r="L24" s="729"/>
    </row>
    <row r="25" spans="1:12" ht="30" customHeight="1">
      <c r="B25" s="570" t="s">
        <v>292</v>
      </c>
      <c r="C25" s="570"/>
      <c r="D25" s="585" t="s">
        <v>1426</v>
      </c>
      <c r="E25" s="585"/>
      <c r="F25" s="310" t="s">
        <v>139</v>
      </c>
      <c r="H25" s="319" t="s">
        <v>585</v>
      </c>
      <c r="I25" s="136"/>
      <c r="J25" s="124"/>
      <c r="K25" s="124"/>
      <c r="L25" s="124"/>
    </row>
    <row r="26" spans="1:12" ht="30" customHeight="1">
      <c r="B26" s="632"/>
      <c r="C26" s="632"/>
      <c r="D26" s="632"/>
      <c r="E26" s="632"/>
      <c r="F26" s="632"/>
      <c r="H26" s="734" t="s">
        <v>1440</v>
      </c>
      <c r="I26" s="734"/>
      <c r="J26" s="734"/>
      <c r="K26" s="734"/>
      <c r="L26" s="734"/>
    </row>
    <row r="27" spans="1:12" ht="30" customHeight="1">
      <c r="B27" s="632"/>
      <c r="C27" s="632"/>
      <c r="D27" s="632"/>
      <c r="E27" s="632"/>
      <c r="F27" s="632"/>
      <c r="H27" s="747" t="s">
        <v>329</v>
      </c>
      <c r="I27" s="747"/>
      <c r="J27" s="124" t="s">
        <v>1427</v>
      </c>
      <c r="K27" s="146" t="s">
        <v>603</v>
      </c>
      <c r="L27" s="14">
        <f>IF(AND(K24&gt;0,K24&lt;13.5),1,0)</f>
        <v>0</v>
      </c>
    </row>
    <row r="28" spans="1:12" ht="30" customHeight="1">
      <c r="B28" s="632"/>
      <c r="C28" s="632"/>
      <c r="D28" s="632"/>
      <c r="E28" s="632"/>
      <c r="F28" s="632"/>
    </row>
    <row r="29" spans="1:12" ht="30" customHeight="1">
      <c r="B29" s="469" t="s">
        <v>34</v>
      </c>
      <c r="C29" s="469"/>
      <c r="D29" s="469"/>
      <c r="E29" s="470" t="s">
        <v>189</v>
      </c>
      <c r="F29" s="470"/>
      <c r="G29" s="470"/>
      <c r="H29" s="470"/>
      <c r="I29" s="470"/>
      <c r="J29" s="470"/>
      <c r="K29" s="735">
        <f>D1</f>
        <v>0</v>
      </c>
      <c r="L29" s="735"/>
    </row>
    <row r="30" spans="1:12" ht="30" customHeight="1">
      <c r="B30" s="296"/>
      <c r="C30" s="296"/>
      <c r="D30" s="296"/>
      <c r="E30" s="296"/>
      <c r="F30" s="296"/>
    </row>
    <row r="31" spans="1:12" ht="30" customHeight="1">
      <c r="A31" s="320"/>
      <c r="B31" s="468" t="s">
        <v>1661</v>
      </c>
      <c r="C31" s="468"/>
      <c r="D31" s="468"/>
      <c r="E31" s="468"/>
      <c r="F31" s="468"/>
      <c r="H31" s="736" t="s">
        <v>1661</v>
      </c>
      <c r="I31" s="736"/>
      <c r="J31" s="736"/>
      <c r="K31" s="736"/>
      <c r="L31" s="736"/>
    </row>
    <row r="32" spans="1:12" ht="30" customHeight="1">
      <c r="A32" s="320"/>
      <c r="B32" s="567" t="s">
        <v>610</v>
      </c>
      <c r="C32" s="567"/>
      <c r="D32" s="567"/>
      <c r="E32" s="567"/>
      <c r="F32" s="101"/>
      <c r="G32" s="114"/>
      <c r="H32" s="567" t="s">
        <v>1435</v>
      </c>
      <c r="I32" s="567"/>
      <c r="J32" s="567"/>
      <c r="K32" s="567"/>
      <c r="L32" s="101"/>
    </row>
    <row r="33" spans="1:12" ht="30" customHeight="1">
      <c r="A33" s="209"/>
      <c r="B33" s="570" t="s">
        <v>1428</v>
      </c>
      <c r="C33" s="570"/>
      <c r="D33" s="570"/>
      <c r="E33" s="570"/>
      <c r="F33" s="101" t="s">
        <v>139</v>
      </c>
      <c r="G33" s="209"/>
      <c r="H33" s="570" t="s">
        <v>1439</v>
      </c>
      <c r="I33" s="570"/>
      <c r="J33" s="570"/>
      <c r="K33" s="570"/>
      <c r="L33" s="101" t="s">
        <v>139</v>
      </c>
    </row>
    <row r="34" spans="1:12" ht="30" customHeight="1">
      <c r="A34" s="209"/>
      <c r="B34" s="570" t="s">
        <v>1429</v>
      </c>
      <c r="C34" s="570"/>
      <c r="D34" s="570"/>
      <c r="E34" s="570"/>
      <c r="F34" s="101" t="s">
        <v>139</v>
      </c>
      <c r="H34" s="739" t="s">
        <v>147</v>
      </c>
      <c r="I34" s="739"/>
      <c r="J34" s="739"/>
      <c r="K34" s="739"/>
    </row>
    <row r="35" spans="1:12" ht="30" customHeight="1">
      <c r="A35" s="209"/>
      <c r="B35" s="567" t="s">
        <v>1431</v>
      </c>
      <c r="C35" s="567"/>
      <c r="D35" s="567"/>
      <c r="E35" s="567"/>
      <c r="F35" s="101"/>
      <c r="G35" s="209"/>
    </row>
    <row r="36" spans="1:12" ht="30" customHeight="1">
      <c r="A36" s="103"/>
      <c r="B36" s="570" t="s">
        <v>1432</v>
      </c>
      <c r="C36" s="570"/>
      <c r="D36" s="570"/>
      <c r="E36" s="570"/>
      <c r="F36" s="101" t="s">
        <v>139</v>
      </c>
      <c r="G36" s="209"/>
      <c r="H36" s="734"/>
      <c r="I36" s="734"/>
      <c r="J36" s="734"/>
      <c r="K36" s="734"/>
      <c r="L36" s="734"/>
    </row>
    <row r="37" spans="1:12" ht="30" customHeight="1">
      <c r="B37" s="570" t="s">
        <v>1433</v>
      </c>
      <c r="C37" s="570"/>
      <c r="D37" s="570"/>
      <c r="E37" s="570"/>
      <c r="F37" s="101" t="s">
        <v>139</v>
      </c>
      <c r="G37" s="209"/>
      <c r="H37" s="598"/>
      <c r="I37" s="598"/>
      <c r="J37" s="124"/>
      <c r="K37" s="124"/>
      <c r="L37" s="124"/>
    </row>
    <row r="38" spans="1:12" ht="30" customHeight="1">
      <c r="A38" s="209"/>
      <c r="B38" s="640" t="s">
        <v>1434</v>
      </c>
      <c r="C38" s="640"/>
      <c r="D38" s="640"/>
      <c r="E38" s="640"/>
      <c r="F38" s="101" t="s">
        <v>139</v>
      </c>
    </row>
    <row r="39" spans="1:12" ht="30" customHeight="1">
      <c r="A39" s="209"/>
      <c r="B39" s="739" t="s">
        <v>147</v>
      </c>
      <c r="C39" s="739"/>
      <c r="D39" s="739"/>
      <c r="E39" s="739"/>
    </row>
    <row r="40" spans="1:12" ht="30" customHeight="1">
      <c r="A40" s="209"/>
    </row>
    <row r="41" spans="1:12" ht="30" customHeight="1"/>
    <row r="42" spans="1:12" ht="30" customHeight="1"/>
    <row r="43" spans="1:12" ht="30" customHeight="1"/>
    <row r="44" spans="1:12" ht="30" customHeight="1"/>
    <row r="45" spans="1:12" ht="30" customHeight="1"/>
    <row r="46" spans="1:12" ht="30" customHeight="1"/>
    <row r="47" spans="1:12" ht="30" customHeight="1"/>
    <row r="48" spans="1:12" ht="30" customHeight="1"/>
    <row r="49" spans="1:6" ht="30" customHeight="1">
      <c r="A49" s="320">
        <v>1</v>
      </c>
      <c r="B49" s="734"/>
      <c r="C49" s="734"/>
      <c r="D49" s="734"/>
      <c r="E49" s="734"/>
      <c r="F49" s="734"/>
    </row>
    <row r="50" spans="1:6" ht="30" customHeight="1">
      <c r="A50" s="320">
        <v>2</v>
      </c>
      <c r="B50" s="598"/>
      <c r="C50" s="598"/>
      <c r="D50" s="124"/>
      <c r="E50" s="124"/>
      <c r="F50" s="124"/>
    </row>
    <row r="51" spans="1:6" ht="30" customHeight="1">
      <c r="A51" s="114"/>
      <c r="B51" s="598"/>
      <c r="C51" s="598"/>
      <c r="D51" s="598"/>
      <c r="E51" s="598"/>
      <c r="F51" s="598"/>
    </row>
    <row r="52" spans="1:6" ht="30" customHeight="1">
      <c r="A52" s="209">
        <v>1</v>
      </c>
      <c r="B52" s="749"/>
      <c r="C52" s="749"/>
      <c r="D52" s="749"/>
      <c r="E52" s="749"/>
      <c r="F52" s="749"/>
    </row>
    <row r="53" spans="1:6" ht="30" customHeight="1">
      <c r="A53" s="209"/>
      <c r="B53" s="581"/>
      <c r="C53" s="581"/>
      <c r="D53" s="707"/>
      <c r="E53" s="707"/>
      <c r="F53" s="271"/>
    </row>
    <row r="54" spans="1:6" ht="30" customHeight="1">
      <c r="A54" s="209">
        <v>1</v>
      </c>
      <c r="B54" s="560"/>
      <c r="C54" s="560"/>
      <c r="D54" s="632"/>
      <c r="E54" s="632"/>
      <c r="F54" s="310"/>
    </row>
    <row r="55" spans="1:6" ht="30" customHeight="1">
      <c r="A55" s="209">
        <v>2</v>
      </c>
      <c r="B55" s="744"/>
      <c r="C55" s="744"/>
      <c r="D55" s="744"/>
      <c r="E55" s="302"/>
      <c r="F55" s="303"/>
    </row>
    <row r="56" spans="1:6" ht="30" customHeight="1">
      <c r="A56" s="103">
        <v>3</v>
      </c>
      <c r="B56" s="97"/>
      <c r="C56" s="97"/>
      <c r="D56" s="97"/>
      <c r="E56" s="742"/>
      <c r="F56" s="742"/>
    </row>
    <row r="57" spans="1:6">
      <c r="B57" s="748"/>
      <c r="C57" s="748"/>
      <c r="D57" s="748"/>
      <c r="E57" s="748"/>
      <c r="F57" s="748"/>
    </row>
    <row r="58" spans="1:6" ht="17.399999999999999">
      <c r="B58" s="567"/>
      <c r="C58" s="567"/>
      <c r="D58" s="567"/>
      <c r="E58" s="567"/>
      <c r="F58" s="101"/>
    </row>
    <row r="59" spans="1:6" ht="17.399999999999999">
      <c r="B59" s="570"/>
      <c r="C59" s="570"/>
      <c r="D59" s="570"/>
      <c r="E59" s="570"/>
      <c r="F59" s="101"/>
    </row>
    <row r="60" spans="1:6" ht="17.399999999999999">
      <c r="B60" s="570"/>
      <c r="C60" s="570"/>
      <c r="D60" s="570"/>
      <c r="E60" s="570"/>
      <c r="F60" s="101"/>
    </row>
    <row r="61" spans="1:6" ht="17.399999999999999">
      <c r="B61" s="743"/>
      <c r="C61" s="743"/>
      <c r="D61" s="743"/>
      <c r="E61" s="743"/>
      <c r="F61" s="101"/>
    </row>
    <row r="62" spans="1:6" ht="17.399999999999999">
      <c r="B62" s="640"/>
      <c r="C62" s="640"/>
      <c r="D62" s="640"/>
      <c r="E62" s="640"/>
      <c r="F62" s="101"/>
    </row>
    <row r="63" spans="1:6" ht="17.399999999999999">
      <c r="B63" s="567"/>
      <c r="C63" s="567"/>
      <c r="D63" s="567"/>
      <c r="E63" s="567"/>
      <c r="F63" s="101"/>
    </row>
    <row r="64" spans="1:6" ht="17.399999999999999">
      <c r="B64" s="570"/>
      <c r="C64" s="570"/>
      <c r="D64" s="570"/>
      <c r="E64" s="570"/>
      <c r="F64" s="101"/>
    </row>
    <row r="65" spans="2:6" ht="17.399999999999999">
      <c r="B65" s="570"/>
      <c r="C65" s="570"/>
      <c r="D65" s="570"/>
      <c r="E65" s="570"/>
      <c r="F65" s="101"/>
    </row>
    <row r="66" spans="2:6" ht="17.399999999999999">
      <c r="B66" s="640"/>
      <c r="C66" s="640"/>
      <c r="D66" s="640"/>
      <c r="E66" s="640"/>
      <c r="F66" s="101"/>
    </row>
    <row r="70" spans="2:6" ht="17.399999999999999">
      <c r="B70" s="538"/>
      <c r="C70" s="538"/>
      <c r="D70" s="538"/>
      <c r="E70" s="538"/>
      <c r="F70" s="101"/>
    </row>
    <row r="71" spans="2:6" ht="17.399999999999999">
      <c r="B71" s="538"/>
      <c r="C71" s="538"/>
      <c r="D71" s="538"/>
      <c r="E71" s="538"/>
      <c r="F71" s="101"/>
    </row>
    <row r="72" spans="2:6" ht="17.399999999999999">
      <c r="B72" s="538"/>
      <c r="C72" s="538"/>
      <c r="D72" s="538"/>
      <c r="E72" s="538"/>
      <c r="F72" s="101"/>
    </row>
    <row r="73" spans="2:6" ht="17.399999999999999">
      <c r="B73" s="538"/>
      <c r="C73" s="538"/>
      <c r="D73" s="538"/>
      <c r="E73" s="538"/>
      <c r="F73" s="101"/>
    </row>
    <row r="74" spans="2:6" ht="17.399999999999999">
      <c r="B74" s="538"/>
      <c r="C74" s="538"/>
      <c r="D74" s="538"/>
      <c r="E74" s="538"/>
      <c r="F74" s="101"/>
    </row>
  </sheetData>
  <mergeCells count="95">
    <mergeCell ref="B70:E70"/>
    <mergeCell ref="B71:E71"/>
    <mergeCell ref="B72:E72"/>
    <mergeCell ref="B73:E73"/>
    <mergeCell ref="K15:L15"/>
    <mergeCell ref="H36:L36"/>
    <mergeCell ref="H37:I37"/>
    <mergeCell ref="H27:I27"/>
    <mergeCell ref="H23:I23"/>
    <mergeCell ref="H34:K34"/>
    <mergeCell ref="B36:E36"/>
    <mergeCell ref="I16:J16"/>
    <mergeCell ref="K16:L16"/>
    <mergeCell ref="B57:F57"/>
    <mergeCell ref="B52:F52"/>
    <mergeCell ref="D53:E53"/>
    <mergeCell ref="B5:F5"/>
    <mergeCell ref="H5:L5"/>
    <mergeCell ref="B6:L6"/>
    <mergeCell ref="B7:E7"/>
    <mergeCell ref="H7:K7"/>
    <mergeCell ref="I13:J13"/>
    <mergeCell ref="K13:L13"/>
    <mergeCell ref="I11:J11"/>
    <mergeCell ref="K11:L11"/>
    <mergeCell ref="I12:J12"/>
    <mergeCell ref="K12:L12"/>
    <mergeCell ref="B74:E74"/>
    <mergeCell ref="B65:E65"/>
    <mergeCell ref="B49:F49"/>
    <mergeCell ref="B62:E62"/>
    <mergeCell ref="B63:E63"/>
    <mergeCell ref="B64:E64"/>
    <mergeCell ref="E56:F56"/>
    <mergeCell ref="B51:F51"/>
    <mergeCell ref="B54:C54"/>
    <mergeCell ref="B53:C53"/>
    <mergeCell ref="B66:E66"/>
    <mergeCell ref="B58:E58"/>
    <mergeCell ref="B59:E59"/>
    <mergeCell ref="B60:E60"/>
    <mergeCell ref="B61:E61"/>
    <mergeCell ref="B55:D55"/>
    <mergeCell ref="D54:E54"/>
    <mergeCell ref="B23:F23"/>
    <mergeCell ref="B50:C50"/>
    <mergeCell ref="B34:E34"/>
    <mergeCell ref="B32:E32"/>
    <mergeCell ref="B33:E33"/>
    <mergeCell ref="B35:E35"/>
    <mergeCell ref="B39:E39"/>
    <mergeCell ref="B24:C24"/>
    <mergeCell ref="D24:E24"/>
    <mergeCell ref="B25:C25"/>
    <mergeCell ref="D25:E25"/>
    <mergeCell ref="B37:E37"/>
    <mergeCell ref="B38:E38"/>
    <mergeCell ref="B26:F28"/>
    <mergeCell ref="H8:H9"/>
    <mergeCell ref="I8:J9"/>
    <mergeCell ref="K8:L9"/>
    <mergeCell ref="I10:J10"/>
    <mergeCell ref="K10:L10"/>
    <mergeCell ref="I20:J20"/>
    <mergeCell ref="K20:L20"/>
    <mergeCell ref="I21:J21"/>
    <mergeCell ref="K21:L21"/>
    <mergeCell ref="H22:I22"/>
    <mergeCell ref="K22:L22"/>
    <mergeCell ref="B1:C1"/>
    <mergeCell ref="H4:L4"/>
    <mergeCell ref="F2:J2"/>
    <mergeCell ref="J1:L1"/>
    <mergeCell ref="G1:I1"/>
    <mergeCell ref="D1:F1"/>
    <mergeCell ref="B2:D2"/>
    <mergeCell ref="B4:F4"/>
    <mergeCell ref="K18:L18"/>
    <mergeCell ref="I19:J19"/>
    <mergeCell ref="K19:L19"/>
    <mergeCell ref="I14:J14"/>
    <mergeCell ref="K14:L14"/>
    <mergeCell ref="I15:J15"/>
    <mergeCell ref="I17:J17"/>
    <mergeCell ref="K17:L17"/>
    <mergeCell ref="I18:J18"/>
    <mergeCell ref="C21:D21"/>
    <mergeCell ref="H26:L26"/>
    <mergeCell ref="H32:K32"/>
    <mergeCell ref="H33:K33"/>
    <mergeCell ref="K23:L23"/>
    <mergeCell ref="H24:I24"/>
    <mergeCell ref="K24:L24"/>
    <mergeCell ref="K29:L29"/>
    <mergeCell ref="H31:L31"/>
  </mergeCells>
  <conditionalFormatting sqref="B8:F20 B26 B22:F25 B21:C21 E21:F21">
    <cfRule type="expression" dxfId="101" priority="4">
      <formula>$F$7&lt;&gt;"☑"</formula>
    </cfRule>
  </conditionalFormatting>
  <conditionalFormatting sqref="H8:L27">
    <cfRule type="expression" dxfId="100" priority="1">
      <formula>$L$7&lt;&gt;"☑"</formula>
    </cfRule>
  </conditionalFormatting>
  <dataValidations count="3">
    <dataValidation type="decimal" sqref="D1 J1" xr:uid="{00000000-0002-0000-0E00-000000000000}">
      <formula1>0</formula1>
      <formula2>2</formula2>
    </dataValidation>
    <dataValidation type="list" sqref="A1 E56 F54 F70:F74 F58:F66 F25 L32:L33 F32:F38 F7 L7" xr:uid="{00000000-0002-0000-0E00-000001000000}">
      <formula1>"☐,☑"</formula1>
    </dataValidation>
    <dataValidation sqref="E9:F20" xr:uid="{305BCAC9-E3E4-4368-A693-B07DE16FC49F}"/>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7585" r:id="rId4" name="Button 1">
              <controlPr defaultSize="0" print="0" autoFill="0" autoPict="0" macro="[0]!Add_Laundry_Row">
                <anchor moveWithCells="1" sizeWithCells="1">
                  <from>
                    <xdr:col>0</xdr:col>
                    <xdr:colOff>0</xdr:colOff>
                    <xdr:row>19</xdr:row>
                    <xdr:rowOff>15240</xdr:rowOff>
                  </from>
                  <to>
                    <xdr:col>1</xdr:col>
                    <xdr:colOff>38100</xdr:colOff>
                    <xdr:row>19</xdr:row>
                    <xdr:rowOff>327660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Q136"/>
  <sheetViews>
    <sheetView zoomScale="85" zoomScaleNormal="85" workbookViewId="0">
      <selection activeCell="J12" sqref="J12"/>
    </sheetView>
  </sheetViews>
  <sheetFormatPr defaultRowHeight="13.8"/>
  <cols>
    <col min="1" max="1" width="6.09765625" style="93" customWidth="1"/>
    <col min="2" max="2" width="22" style="93" customWidth="1"/>
    <col min="3" max="3" width="24.5" style="93" customWidth="1"/>
    <col min="4" max="4" width="13.19921875" style="93" customWidth="1"/>
    <col min="5" max="5" width="13.5" style="93" customWidth="1"/>
    <col min="6" max="6" width="12" style="93" customWidth="1"/>
    <col min="7" max="7" width="16.09765625" style="93" customWidth="1"/>
    <col min="8" max="8" width="11.8984375" style="93" customWidth="1"/>
    <col min="9" max="9" width="12.69921875" style="93" customWidth="1"/>
    <col min="10" max="10" width="8.796875" style="93"/>
    <col min="11" max="11" width="30" style="93" customWidth="1"/>
    <col min="12" max="12" width="27.59765625" style="93" customWidth="1"/>
    <col min="13" max="13" width="15.3984375" style="93" customWidth="1"/>
    <col min="14" max="14" width="15.296875" style="93" customWidth="1"/>
    <col min="15" max="16384" width="8.796875" style="93"/>
  </cols>
  <sheetData>
    <row r="1" spans="1:15" ht="18.75" customHeight="1">
      <c r="A1" s="91" t="s">
        <v>134</v>
      </c>
      <c r="B1" s="707" t="s">
        <v>163</v>
      </c>
      <c r="C1" s="707"/>
      <c r="D1" s="758">
        <f>MAX(H122,N14)</f>
        <v>0</v>
      </c>
      <c r="E1" s="758"/>
      <c r="F1" s="758"/>
      <c r="G1" s="758"/>
      <c r="H1" s="758"/>
      <c r="I1" s="758"/>
      <c r="J1" s="758"/>
      <c r="K1" s="707" t="s">
        <v>259</v>
      </c>
      <c r="L1" s="707"/>
      <c r="M1" s="759">
        <v>1</v>
      </c>
      <c r="N1" s="759"/>
    </row>
    <row r="2" spans="1:15" ht="23.55" customHeight="1">
      <c r="A2" s="94"/>
      <c r="B2" s="95" t="s">
        <v>36</v>
      </c>
      <c r="C2" s="95"/>
      <c r="D2" s="95"/>
      <c r="E2" s="95"/>
      <c r="F2" s="95"/>
      <c r="G2" s="95"/>
      <c r="H2" s="95"/>
      <c r="I2" s="95"/>
      <c r="J2" s="95"/>
      <c r="K2" s="95"/>
      <c r="L2" s="95"/>
      <c r="M2" s="757" t="s">
        <v>35</v>
      </c>
      <c r="N2" s="757"/>
    </row>
    <row r="3" spans="1:15" ht="15" customHeight="1">
      <c r="A3" s="94"/>
      <c r="B3" s="96" t="s">
        <v>5</v>
      </c>
      <c r="C3" s="97"/>
      <c r="D3" s="97"/>
      <c r="E3" s="97"/>
      <c r="F3" s="97"/>
      <c r="G3" s="97"/>
      <c r="H3" s="97"/>
      <c r="I3" s="97"/>
      <c r="J3" s="96"/>
      <c r="K3" s="97"/>
      <c r="L3" s="97"/>
      <c r="M3" s="600" t="str">
        <f>HYPERLINK("#'Checklist'!A1","Go To Checklist")</f>
        <v>Go To Checklist</v>
      </c>
      <c r="N3" s="600"/>
    </row>
    <row r="4" spans="1:15" ht="46.8" customHeight="1">
      <c r="A4" s="94"/>
      <c r="B4" s="752" t="s">
        <v>710</v>
      </c>
      <c r="C4" s="753"/>
      <c r="D4" s="753"/>
      <c r="E4" s="753"/>
      <c r="F4" s="753"/>
      <c r="G4" s="753"/>
      <c r="H4" s="753"/>
      <c r="I4" s="753"/>
      <c r="K4" s="533" t="s">
        <v>710</v>
      </c>
      <c r="L4" s="534"/>
      <c r="M4" s="534"/>
      <c r="N4" s="535"/>
    </row>
    <row r="5" spans="1:15" ht="19.8" customHeight="1">
      <c r="A5" s="94"/>
      <c r="B5" s="760" t="s">
        <v>931</v>
      </c>
      <c r="C5" s="760"/>
      <c r="D5" s="760"/>
      <c r="E5" s="760"/>
      <c r="F5" s="760"/>
      <c r="G5" s="760"/>
      <c r="H5" s="760"/>
      <c r="I5" s="760"/>
      <c r="K5" s="745" t="s">
        <v>931</v>
      </c>
      <c r="L5" s="745"/>
      <c r="M5" s="745"/>
      <c r="N5" s="745"/>
      <c r="O5" s="323"/>
    </row>
    <row r="6" spans="1:15" ht="18" customHeight="1">
      <c r="A6" s="94"/>
      <c r="B6" s="657" t="s">
        <v>1669</v>
      </c>
      <c r="C6" s="657"/>
      <c r="D6" s="657"/>
      <c r="E6" s="657"/>
      <c r="F6" s="657"/>
      <c r="G6" s="657"/>
      <c r="H6" s="657"/>
      <c r="I6" s="657"/>
      <c r="J6" s="657"/>
      <c r="K6" s="657"/>
      <c r="L6" s="657"/>
      <c r="M6" s="657"/>
      <c r="N6" s="657"/>
    </row>
    <row r="7" spans="1:15" ht="22.8" customHeight="1">
      <c r="A7" s="324"/>
      <c r="B7" s="746" t="s">
        <v>293</v>
      </c>
      <c r="C7" s="746"/>
      <c r="D7" s="746"/>
      <c r="E7" s="746"/>
      <c r="F7" s="746"/>
      <c r="G7" s="746"/>
      <c r="H7" s="314"/>
      <c r="I7" s="231" t="s">
        <v>134</v>
      </c>
      <c r="J7" s="756" t="s">
        <v>816</v>
      </c>
      <c r="K7" s="763" t="s">
        <v>485</v>
      </c>
      <c r="L7" s="763"/>
      <c r="M7" s="325"/>
      <c r="N7" s="231" t="s">
        <v>134</v>
      </c>
    </row>
    <row r="8" spans="1:15" ht="21" customHeight="1">
      <c r="A8" s="94"/>
      <c r="B8" s="603" t="s">
        <v>950</v>
      </c>
      <c r="C8" s="603"/>
      <c r="D8" s="603"/>
      <c r="E8" s="603"/>
      <c r="F8" s="603"/>
      <c r="G8" s="603"/>
      <c r="H8" s="603"/>
      <c r="I8" s="603"/>
      <c r="J8" s="756"/>
      <c r="K8" s="761" t="s">
        <v>949</v>
      </c>
      <c r="L8" s="761"/>
      <c r="M8" s="761"/>
      <c r="N8" s="761"/>
    </row>
    <row r="9" spans="1:15" ht="45.6" customHeight="1">
      <c r="A9" s="94"/>
      <c r="B9" s="167" t="s">
        <v>533</v>
      </c>
      <c r="C9" s="167" t="s">
        <v>294</v>
      </c>
      <c r="D9" s="167" t="s">
        <v>999</v>
      </c>
      <c r="E9" s="167" t="s">
        <v>1000</v>
      </c>
      <c r="F9" s="167" t="s">
        <v>1003</v>
      </c>
      <c r="G9" s="167" t="s">
        <v>1001</v>
      </c>
      <c r="H9" s="167" t="s">
        <v>1443</v>
      </c>
      <c r="I9" s="167" t="s">
        <v>1002</v>
      </c>
      <c r="K9" s="165" t="s">
        <v>940</v>
      </c>
      <c r="L9" s="762" t="s">
        <v>622</v>
      </c>
      <c r="M9" s="762"/>
      <c r="N9" s="166" t="s">
        <v>829</v>
      </c>
    </row>
    <row r="10" spans="1:15" ht="15" customHeight="1">
      <c r="A10" s="94"/>
      <c r="B10" s="621" t="s">
        <v>535</v>
      </c>
      <c r="C10" s="147" t="s">
        <v>295</v>
      </c>
      <c r="D10" s="147"/>
      <c r="E10" s="188">
        <v>0.85</v>
      </c>
      <c r="F10" s="163"/>
      <c r="G10" s="163" t="s">
        <v>1444</v>
      </c>
      <c r="H10" s="332">
        <f>IF(G10="","",IF(G10="Flood Irrigation",0.65,IF(G10="Drip Irrigation",0.9,IF(G10="Sprinkler",0.85,""))))</f>
        <v>0.65</v>
      </c>
      <c r="I10" s="333">
        <f>(D10*E10*F10)/(H10)</f>
        <v>0</v>
      </c>
      <c r="K10" s="162" t="s">
        <v>947</v>
      </c>
      <c r="L10" s="617" t="s">
        <v>944</v>
      </c>
      <c r="M10" s="617"/>
      <c r="N10" s="326">
        <v>0</v>
      </c>
    </row>
    <row r="11" spans="1:15" ht="15" customHeight="1">
      <c r="A11" s="94"/>
      <c r="B11" s="621"/>
      <c r="C11" s="147" t="s">
        <v>296</v>
      </c>
      <c r="D11" s="147"/>
      <c r="E11" s="188">
        <v>0.5</v>
      </c>
      <c r="F11" s="163"/>
      <c r="G11" s="163" t="s">
        <v>1445</v>
      </c>
      <c r="H11" s="332">
        <f t="shared" ref="H11:H16" si="0">IF(G11="","",IF(G11="Flood Irrigation",0.65,IF(G11="Drip Irrigation",0.9,IF(G11="Sprinkler",0.85,""))))</f>
        <v>0.9</v>
      </c>
      <c r="I11" s="333">
        <f t="shared" ref="I11:I16" si="1">(D11*E11*F11)/(H11)</f>
        <v>0</v>
      </c>
      <c r="K11" s="162" t="s">
        <v>303</v>
      </c>
      <c r="L11" s="617" t="s">
        <v>945</v>
      </c>
      <c r="M11" s="617"/>
      <c r="N11" s="327">
        <f>'Project Info'!C18</f>
        <v>0</v>
      </c>
    </row>
    <row r="12" spans="1:15" ht="15" customHeight="1">
      <c r="A12" s="94"/>
      <c r="B12" s="621"/>
      <c r="C12" s="147" t="s">
        <v>297</v>
      </c>
      <c r="D12" s="147"/>
      <c r="E12" s="188">
        <v>0.7</v>
      </c>
      <c r="F12" s="163"/>
      <c r="G12" s="163" t="s">
        <v>302</v>
      </c>
      <c r="H12" s="332">
        <f t="shared" si="0"/>
        <v>0.85</v>
      </c>
      <c r="I12" s="333">
        <f t="shared" si="1"/>
        <v>0</v>
      </c>
      <c r="K12" s="162" t="s">
        <v>948</v>
      </c>
      <c r="L12" s="617" t="s">
        <v>946</v>
      </c>
      <c r="M12" s="617"/>
      <c r="N12" s="336">
        <f>IFERROR(N10/(365*N11),0)</f>
        <v>0</v>
      </c>
    </row>
    <row r="13" spans="1:15" ht="15" customHeight="1">
      <c r="A13" s="94"/>
      <c r="B13" s="621"/>
      <c r="C13" s="147" t="s">
        <v>298</v>
      </c>
      <c r="D13" s="147"/>
      <c r="E13" s="188">
        <v>0.5</v>
      </c>
      <c r="F13" s="163"/>
      <c r="G13" s="163" t="s">
        <v>1445</v>
      </c>
      <c r="H13" s="332">
        <f t="shared" si="0"/>
        <v>0.9</v>
      </c>
      <c r="I13" s="333">
        <f t="shared" si="1"/>
        <v>0</v>
      </c>
      <c r="K13" s="106"/>
      <c r="L13" s="136"/>
      <c r="M13" s="136"/>
      <c r="N13" s="124"/>
    </row>
    <row r="14" spans="1:15" ht="31.8" customHeight="1">
      <c r="A14" s="94"/>
      <c r="B14" s="621"/>
      <c r="C14" s="147" t="s">
        <v>299</v>
      </c>
      <c r="D14" s="147"/>
      <c r="E14" s="188">
        <v>0.2</v>
      </c>
      <c r="F14" s="163"/>
      <c r="G14" s="163" t="s">
        <v>302</v>
      </c>
      <c r="H14" s="332">
        <f t="shared" si="0"/>
        <v>0.85</v>
      </c>
      <c r="I14" s="333">
        <f t="shared" si="1"/>
        <v>0</v>
      </c>
      <c r="K14" s="145" t="s">
        <v>329</v>
      </c>
      <c r="L14" s="207" t="s">
        <v>1447</v>
      </c>
      <c r="M14" s="146" t="s">
        <v>603</v>
      </c>
      <c r="N14" s="14">
        <f>IF(AND(N12&gt;0,N12&lt;=5),1,0)</f>
        <v>0</v>
      </c>
    </row>
    <row r="15" spans="1:15" ht="15" customHeight="1">
      <c r="A15" s="94"/>
      <c r="B15" s="621"/>
      <c r="C15" s="147" t="s">
        <v>300</v>
      </c>
      <c r="D15" s="147"/>
      <c r="E15" s="188">
        <v>1.2</v>
      </c>
      <c r="F15" s="163"/>
      <c r="G15" s="163" t="s">
        <v>1444</v>
      </c>
      <c r="H15" s="332">
        <f t="shared" si="0"/>
        <v>0.65</v>
      </c>
      <c r="I15" s="333">
        <f t="shared" si="1"/>
        <v>0</v>
      </c>
      <c r="K15" s="598"/>
      <c r="L15" s="598"/>
      <c r="M15" s="598"/>
      <c r="N15" s="598"/>
    </row>
    <row r="16" spans="1:15" ht="15.6" customHeight="1">
      <c r="A16" s="94"/>
      <c r="B16" s="621"/>
      <c r="C16" s="147" t="s">
        <v>301</v>
      </c>
      <c r="D16" s="147"/>
      <c r="E16" s="188">
        <v>1.3</v>
      </c>
      <c r="F16" s="163"/>
      <c r="G16" s="163" t="s">
        <v>1445</v>
      </c>
      <c r="H16" s="332">
        <f t="shared" si="0"/>
        <v>0.9</v>
      </c>
      <c r="I16" s="333">
        <f t="shared" si="1"/>
        <v>0</v>
      </c>
      <c r="K16" s="598"/>
      <c r="L16" s="598"/>
      <c r="M16" s="598"/>
      <c r="N16" s="598"/>
    </row>
    <row r="17" spans="1:17" ht="15.6" customHeight="1">
      <c r="A17" s="94"/>
      <c r="B17" s="621"/>
      <c r="C17" s="621" t="s">
        <v>1004</v>
      </c>
      <c r="D17" s="621"/>
      <c r="E17" s="621"/>
      <c r="F17" s="621"/>
      <c r="G17" s="621"/>
      <c r="H17" s="188"/>
      <c r="I17" s="250">
        <f>SUM(I10:I16)</f>
        <v>0</v>
      </c>
      <c r="K17" s="598"/>
      <c r="L17" s="598"/>
      <c r="M17" s="598"/>
      <c r="N17" s="598"/>
    </row>
    <row r="18" spans="1:17" ht="15.6" customHeight="1">
      <c r="A18" s="94"/>
      <c r="B18" s="621"/>
      <c r="C18" s="621" t="s">
        <v>1005</v>
      </c>
      <c r="D18" s="621"/>
      <c r="E18" s="621"/>
      <c r="F18" s="621"/>
      <c r="G18" s="621"/>
      <c r="H18" s="188"/>
      <c r="I18" s="250">
        <f>I17*31</f>
        <v>0</v>
      </c>
      <c r="K18" s="598"/>
      <c r="L18" s="598"/>
      <c r="M18" s="598"/>
      <c r="N18" s="598"/>
    </row>
    <row r="19" spans="1:17" ht="15" customHeight="1">
      <c r="A19" s="94"/>
      <c r="B19" s="621" t="s">
        <v>536</v>
      </c>
      <c r="C19" s="147" t="s">
        <v>295</v>
      </c>
      <c r="D19" s="147"/>
      <c r="E19" s="188">
        <v>0.85</v>
      </c>
      <c r="F19" s="163">
        <f>F10</f>
        <v>0</v>
      </c>
      <c r="G19" s="163" t="s">
        <v>1444</v>
      </c>
      <c r="H19" s="332">
        <f>IF(G19="","",IF(G19="Flood Irrigation",0.65,IF(G19="Drip Irrigation",0.9,IF(G19="Sprinkler",0.85,""))))</f>
        <v>0.65</v>
      </c>
      <c r="I19" s="333">
        <f>(D19*E19*F19)/(H19)</f>
        <v>0</v>
      </c>
      <c r="K19" s="598"/>
      <c r="L19" s="598"/>
      <c r="M19" s="598"/>
      <c r="N19" s="598"/>
    </row>
    <row r="20" spans="1:17" ht="17.399999999999999" customHeight="1">
      <c r="A20" s="94"/>
      <c r="B20" s="621"/>
      <c r="C20" s="147" t="s">
        <v>296</v>
      </c>
      <c r="D20" s="147"/>
      <c r="E20" s="188">
        <v>0.5</v>
      </c>
      <c r="F20" s="163">
        <f t="shared" ref="F20:F25" si="2">F11</f>
        <v>0</v>
      </c>
      <c r="G20" s="163" t="s">
        <v>1444</v>
      </c>
      <c r="H20" s="332">
        <f t="shared" ref="H20:H25" si="3">IF(G20="","",IF(G20="Flood Irrigation",0.65,IF(G20="Drip Irrigation",0.9,IF(G20="Sprinkler",0.85,""))))</f>
        <v>0.65</v>
      </c>
      <c r="I20" s="333">
        <f t="shared" ref="I20:I25" si="4">(D20*E20*F20)/(H20)</f>
        <v>0</v>
      </c>
      <c r="K20" s="537" t="s">
        <v>1661</v>
      </c>
      <c r="L20" s="537"/>
      <c r="M20" s="537"/>
      <c r="N20" s="537"/>
    </row>
    <row r="21" spans="1:17" ht="17.399999999999999">
      <c r="A21" s="94"/>
      <c r="B21" s="621"/>
      <c r="C21" s="147" t="s">
        <v>297</v>
      </c>
      <c r="D21" s="147"/>
      <c r="E21" s="188">
        <v>0.7</v>
      </c>
      <c r="F21" s="163">
        <f t="shared" si="2"/>
        <v>0</v>
      </c>
      <c r="G21" s="163" t="s">
        <v>1444</v>
      </c>
      <c r="H21" s="332">
        <f t="shared" si="3"/>
        <v>0.65</v>
      </c>
      <c r="I21" s="333">
        <f t="shared" si="4"/>
        <v>0</v>
      </c>
      <c r="K21" s="567" t="s">
        <v>956</v>
      </c>
      <c r="L21" s="567"/>
      <c r="M21" s="97"/>
      <c r="N21" s="101"/>
    </row>
    <row r="22" spans="1:17" ht="15" customHeight="1">
      <c r="A22" s="94"/>
      <c r="B22" s="621"/>
      <c r="C22" s="147" t="s">
        <v>298</v>
      </c>
      <c r="D22" s="147"/>
      <c r="E22" s="188">
        <v>0.5</v>
      </c>
      <c r="F22" s="163">
        <f t="shared" si="2"/>
        <v>0</v>
      </c>
      <c r="G22" s="163" t="s">
        <v>1444</v>
      </c>
      <c r="H22" s="332">
        <f t="shared" si="3"/>
        <v>0.65</v>
      </c>
      <c r="I22" s="333">
        <f t="shared" si="4"/>
        <v>0</v>
      </c>
      <c r="J22" s="114"/>
      <c r="K22" s="538" t="s">
        <v>955</v>
      </c>
      <c r="L22" s="538"/>
      <c r="M22" s="538"/>
      <c r="N22" s="101" t="s">
        <v>139</v>
      </c>
    </row>
    <row r="23" spans="1:17" ht="16.8" customHeight="1">
      <c r="A23" s="94"/>
      <c r="B23" s="621"/>
      <c r="C23" s="147" t="s">
        <v>299</v>
      </c>
      <c r="D23" s="147"/>
      <c r="E23" s="188">
        <v>0.2</v>
      </c>
      <c r="F23" s="163">
        <f t="shared" si="2"/>
        <v>0</v>
      </c>
      <c r="G23" s="163" t="s">
        <v>1444</v>
      </c>
      <c r="H23" s="332">
        <f t="shared" si="3"/>
        <v>0.65</v>
      </c>
      <c r="I23" s="333">
        <f t="shared" si="4"/>
        <v>0</v>
      </c>
      <c r="J23" s="114"/>
      <c r="K23" s="538" t="s">
        <v>952</v>
      </c>
      <c r="L23" s="538"/>
      <c r="M23" s="538"/>
      <c r="N23" s="101" t="s">
        <v>139</v>
      </c>
    </row>
    <row r="24" spans="1:17" ht="15" customHeight="1">
      <c r="A24" s="94"/>
      <c r="B24" s="621"/>
      <c r="C24" s="147" t="s">
        <v>300</v>
      </c>
      <c r="D24" s="147"/>
      <c r="E24" s="188">
        <v>1.2</v>
      </c>
      <c r="F24" s="163">
        <f t="shared" si="2"/>
        <v>0</v>
      </c>
      <c r="G24" s="163" t="s">
        <v>1444</v>
      </c>
      <c r="H24" s="332">
        <f t="shared" si="3"/>
        <v>0.65</v>
      </c>
      <c r="I24" s="333">
        <f t="shared" si="4"/>
        <v>0</v>
      </c>
      <c r="J24" s="114"/>
      <c r="K24" s="538" t="s">
        <v>957</v>
      </c>
      <c r="L24" s="538"/>
      <c r="M24" s="538"/>
      <c r="N24" s="101" t="s">
        <v>139</v>
      </c>
    </row>
    <row r="25" spans="1:17" ht="15" customHeight="1">
      <c r="A25" s="94"/>
      <c r="B25" s="621"/>
      <c r="C25" s="147" t="s">
        <v>301</v>
      </c>
      <c r="D25" s="147"/>
      <c r="E25" s="188">
        <v>1.3</v>
      </c>
      <c r="F25" s="163">
        <f t="shared" si="2"/>
        <v>0</v>
      </c>
      <c r="G25" s="163" t="s">
        <v>1444</v>
      </c>
      <c r="H25" s="332">
        <f t="shared" si="3"/>
        <v>0.65</v>
      </c>
      <c r="I25" s="333">
        <f t="shared" si="4"/>
        <v>0</v>
      </c>
      <c r="J25" s="114"/>
      <c r="K25" s="538" t="s">
        <v>953</v>
      </c>
      <c r="L25" s="538"/>
      <c r="M25" s="538"/>
      <c r="N25" s="101" t="s">
        <v>139</v>
      </c>
    </row>
    <row r="26" spans="1:17" ht="15" customHeight="1">
      <c r="A26" s="94"/>
      <c r="B26" s="621"/>
      <c r="C26" s="621" t="s">
        <v>1004</v>
      </c>
      <c r="D26" s="621"/>
      <c r="E26" s="621"/>
      <c r="F26" s="621"/>
      <c r="G26" s="621"/>
      <c r="H26" s="188"/>
      <c r="I26" s="250">
        <f>SUM(I19:I25)</f>
        <v>0</v>
      </c>
      <c r="J26" s="114"/>
      <c r="K26" s="560"/>
      <c r="L26" s="560"/>
      <c r="M26" s="560"/>
      <c r="N26" s="101"/>
      <c r="O26" s="105"/>
      <c r="P26" s="105"/>
      <c r="Q26" s="105"/>
    </row>
    <row r="27" spans="1:17" ht="15" customHeight="1">
      <c r="A27" s="94"/>
      <c r="B27" s="621"/>
      <c r="C27" s="621" t="s">
        <v>1005</v>
      </c>
      <c r="D27" s="621"/>
      <c r="E27" s="621"/>
      <c r="F27" s="621"/>
      <c r="G27" s="621"/>
      <c r="H27" s="188"/>
      <c r="I27" s="250">
        <f>I26*28</f>
        <v>0</v>
      </c>
      <c r="K27" s="645" t="s">
        <v>147</v>
      </c>
      <c r="L27" s="645"/>
      <c r="M27" s="645"/>
      <c r="N27" s="645"/>
    </row>
    <row r="28" spans="1:17" ht="15" customHeight="1">
      <c r="A28" s="94"/>
      <c r="B28" s="621" t="s">
        <v>537</v>
      </c>
      <c r="C28" s="147" t="s">
        <v>295</v>
      </c>
      <c r="D28" s="147"/>
      <c r="E28" s="143">
        <v>0.85</v>
      </c>
      <c r="F28" s="163">
        <f>F10</f>
        <v>0</v>
      </c>
      <c r="G28" s="163" t="s">
        <v>1444</v>
      </c>
      <c r="H28" s="332">
        <f>IF(G28="","",IF(G28="Flood Irrigation",0.65,IF(G28="Drip Irrigation",0.9,IF(G28="Sprinkler",0.85,""))))</f>
        <v>0.65</v>
      </c>
      <c r="I28" s="333">
        <f>(D28*E28*F28)/(H28)</f>
        <v>0</v>
      </c>
      <c r="J28" s="114"/>
    </row>
    <row r="29" spans="1:17" ht="15" customHeight="1">
      <c r="A29" s="94"/>
      <c r="B29" s="621"/>
      <c r="C29" s="147" t="s">
        <v>296</v>
      </c>
      <c r="D29" s="147"/>
      <c r="E29" s="188">
        <v>0.5</v>
      </c>
      <c r="F29" s="163">
        <f t="shared" ref="F29:F34" si="5">F11</f>
        <v>0</v>
      </c>
      <c r="G29" s="163" t="s">
        <v>1444</v>
      </c>
      <c r="H29" s="332">
        <f t="shared" ref="H29:H34" si="6">IF(G29="","",IF(G29="Flood Irrigation",0.65,IF(G29="Drip Irrigation",0.9,IF(G29="Sprinkler",0.85,""))))</f>
        <v>0.65</v>
      </c>
      <c r="I29" s="333">
        <f t="shared" ref="I29:I34" si="7">(D29*E29*F29)/(H29)</f>
        <v>0</v>
      </c>
      <c r="J29" s="114"/>
    </row>
    <row r="30" spans="1:17" ht="15" customHeight="1">
      <c r="A30" s="94"/>
      <c r="B30" s="621"/>
      <c r="C30" s="147" t="s">
        <v>297</v>
      </c>
      <c r="D30" s="147"/>
      <c r="E30" s="188">
        <v>0.7</v>
      </c>
      <c r="F30" s="163">
        <f t="shared" si="5"/>
        <v>0</v>
      </c>
      <c r="G30" s="163" t="s">
        <v>1444</v>
      </c>
      <c r="H30" s="332">
        <f t="shared" si="6"/>
        <v>0.65</v>
      </c>
      <c r="I30" s="333">
        <f t="shared" si="7"/>
        <v>0</v>
      </c>
      <c r="J30" s="114"/>
    </row>
    <row r="31" spans="1:17" ht="15" customHeight="1">
      <c r="A31" s="94"/>
      <c r="B31" s="621"/>
      <c r="C31" s="147" t="s">
        <v>298</v>
      </c>
      <c r="D31" s="147"/>
      <c r="E31" s="188">
        <v>0.5</v>
      </c>
      <c r="F31" s="163">
        <f t="shared" si="5"/>
        <v>0</v>
      </c>
      <c r="G31" s="163" t="s">
        <v>1444</v>
      </c>
      <c r="H31" s="332">
        <f t="shared" si="6"/>
        <v>0.65</v>
      </c>
      <c r="I31" s="333">
        <f t="shared" si="7"/>
        <v>0</v>
      </c>
    </row>
    <row r="32" spans="1:17" ht="15" customHeight="1">
      <c r="A32" s="94"/>
      <c r="B32" s="621"/>
      <c r="C32" s="147" t="s">
        <v>299</v>
      </c>
      <c r="D32" s="147"/>
      <c r="E32" s="188">
        <v>0.2</v>
      </c>
      <c r="F32" s="163">
        <f t="shared" si="5"/>
        <v>0</v>
      </c>
      <c r="G32" s="163" t="s">
        <v>1444</v>
      </c>
      <c r="H32" s="332">
        <f t="shared" si="6"/>
        <v>0.65</v>
      </c>
      <c r="I32" s="333">
        <f t="shared" si="7"/>
        <v>0</v>
      </c>
    </row>
    <row r="33" spans="1:9" ht="15" customHeight="1">
      <c r="A33" s="94"/>
      <c r="B33" s="621"/>
      <c r="C33" s="147" t="s">
        <v>300</v>
      </c>
      <c r="D33" s="147"/>
      <c r="E33" s="188">
        <v>1.2</v>
      </c>
      <c r="F33" s="163">
        <f t="shared" si="5"/>
        <v>0</v>
      </c>
      <c r="G33" s="163" t="s">
        <v>1444</v>
      </c>
      <c r="H33" s="332">
        <f t="shared" si="6"/>
        <v>0.65</v>
      </c>
      <c r="I33" s="333">
        <f t="shared" si="7"/>
        <v>0</v>
      </c>
    </row>
    <row r="34" spans="1:9" ht="17.399999999999999" customHeight="1">
      <c r="A34" s="94"/>
      <c r="B34" s="621"/>
      <c r="C34" s="147" t="s">
        <v>301</v>
      </c>
      <c r="D34" s="147"/>
      <c r="E34" s="188">
        <v>1.3</v>
      </c>
      <c r="F34" s="163">
        <f t="shared" si="5"/>
        <v>0</v>
      </c>
      <c r="G34" s="163" t="s">
        <v>1444</v>
      </c>
      <c r="H34" s="332">
        <f t="shared" si="6"/>
        <v>0.65</v>
      </c>
      <c r="I34" s="333">
        <f t="shared" si="7"/>
        <v>0</v>
      </c>
    </row>
    <row r="35" spans="1:9" ht="17.399999999999999" customHeight="1">
      <c r="B35" s="621"/>
      <c r="C35" s="621" t="s">
        <v>1004</v>
      </c>
      <c r="D35" s="621"/>
      <c r="E35" s="621"/>
      <c r="F35" s="621"/>
      <c r="G35" s="621"/>
      <c r="H35" s="188"/>
      <c r="I35" s="250">
        <f>SUM(I28:I34)</f>
        <v>0</v>
      </c>
    </row>
    <row r="36" spans="1:9" ht="13.8" customHeight="1">
      <c r="B36" s="621"/>
      <c r="C36" s="621" t="s">
        <v>1005</v>
      </c>
      <c r="D36" s="621"/>
      <c r="E36" s="621"/>
      <c r="F36" s="621"/>
      <c r="G36" s="621"/>
      <c r="H36" s="188"/>
      <c r="I36" s="250">
        <f>I35*31</f>
        <v>0</v>
      </c>
    </row>
    <row r="37" spans="1:9" ht="17.399999999999999" customHeight="1">
      <c r="B37" s="621" t="s">
        <v>538</v>
      </c>
      <c r="C37" s="147" t="s">
        <v>295</v>
      </c>
      <c r="D37" s="147"/>
      <c r="E37" s="188">
        <v>0.85</v>
      </c>
      <c r="F37" s="163">
        <f>F10</f>
        <v>0</v>
      </c>
      <c r="G37" s="163" t="s">
        <v>1444</v>
      </c>
      <c r="H37" s="332">
        <f>IF(G37="","",IF(G37="Flood Irrigation",0.65,IF(G37="Drip Irrigation",0.9,IF(G37="Sprinkler",0.85,""))))</f>
        <v>0.65</v>
      </c>
      <c r="I37" s="333">
        <f>(D37*E37*F37)/(H37)</f>
        <v>0</v>
      </c>
    </row>
    <row r="38" spans="1:9">
      <c r="B38" s="621"/>
      <c r="C38" s="147" t="s">
        <v>296</v>
      </c>
      <c r="D38" s="147"/>
      <c r="E38" s="188">
        <v>0.5</v>
      </c>
      <c r="F38" s="163">
        <f t="shared" ref="F38:F43" si="8">F11</f>
        <v>0</v>
      </c>
      <c r="G38" s="163" t="s">
        <v>1444</v>
      </c>
      <c r="H38" s="332">
        <f t="shared" ref="H38:H43" si="9">IF(G38="","",IF(G38="Flood Irrigation",0.65,IF(G38="Drip Irrigation",0.9,IF(G38="Sprinkler",0.85,""))))</f>
        <v>0.65</v>
      </c>
      <c r="I38" s="333">
        <f t="shared" ref="I38:I43" si="10">(D38*E38*F38)/(H38)</f>
        <v>0</v>
      </c>
    </row>
    <row r="39" spans="1:9" ht="17.399999999999999" customHeight="1">
      <c r="B39" s="621"/>
      <c r="C39" s="147" t="s">
        <v>297</v>
      </c>
      <c r="D39" s="147"/>
      <c r="E39" s="188">
        <v>0.7</v>
      </c>
      <c r="F39" s="163">
        <f t="shared" si="8"/>
        <v>0</v>
      </c>
      <c r="G39" s="163" t="s">
        <v>1444</v>
      </c>
      <c r="H39" s="332">
        <f t="shared" si="9"/>
        <v>0.65</v>
      </c>
      <c r="I39" s="333">
        <f t="shared" si="10"/>
        <v>0</v>
      </c>
    </row>
    <row r="40" spans="1:9" ht="17.399999999999999" customHeight="1">
      <c r="B40" s="621"/>
      <c r="C40" s="147" t="s">
        <v>298</v>
      </c>
      <c r="D40" s="147"/>
      <c r="E40" s="188">
        <v>0.5</v>
      </c>
      <c r="F40" s="163">
        <f t="shared" si="8"/>
        <v>0</v>
      </c>
      <c r="G40" s="163" t="s">
        <v>1444</v>
      </c>
      <c r="H40" s="332">
        <f t="shared" si="9"/>
        <v>0.65</v>
      </c>
      <c r="I40" s="333">
        <f t="shared" si="10"/>
        <v>0</v>
      </c>
    </row>
    <row r="41" spans="1:9" ht="17.399999999999999" customHeight="1">
      <c r="B41" s="621"/>
      <c r="C41" s="147" t="s">
        <v>299</v>
      </c>
      <c r="D41" s="147"/>
      <c r="E41" s="188">
        <v>0.2</v>
      </c>
      <c r="F41" s="163">
        <f t="shared" si="8"/>
        <v>0</v>
      </c>
      <c r="G41" s="163" t="s">
        <v>1444</v>
      </c>
      <c r="H41" s="332">
        <f t="shared" si="9"/>
        <v>0.65</v>
      </c>
      <c r="I41" s="333">
        <f t="shared" si="10"/>
        <v>0</v>
      </c>
    </row>
    <row r="42" spans="1:9">
      <c r="B42" s="621"/>
      <c r="C42" s="147" t="s">
        <v>300</v>
      </c>
      <c r="D42" s="147"/>
      <c r="E42" s="188">
        <v>1.2</v>
      </c>
      <c r="F42" s="163">
        <f t="shared" si="8"/>
        <v>0</v>
      </c>
      <c r="G42" s="163" t="s">
        <v>1444</v>
      </c>
      <c r="H42" s="332">
        <f t="shared" si="9"/>
        <v>0.65</v>
      </c>
      <c r="I42" s="333">
        <f t="shared" si="10"/>
        <v>0</v>
      </c>
    </row>
    <row r="43" spans="1:9">
      <c r="B43" s="621"/>
      <c r="C43" s="147" t="s">
        <v>301</v>
      </c>
      <c r="D43" s="147"/>
      <c r="E43" s="188">
        <v>1.3</v>
      </c>
      <c r="F43" s="163">
        <f t="shared" si="8"/>
        <v>0</v>
      </c>
      <c r="G43" s="163" t="s">
        <v>1444</v>
      </c>
      <c r="H43" s="332">
        <f t="shared" si="9"/>
        <v>0.65</v>
      </c>
      <c r="I43" s="333">
        <f t="shared" si="10"/>
        <v>0</v>
      </c>
    </row>
    <row r="44" spans="1:9" ht="13.8" customHeight="1">
      <c r="B44" s="621"/>
      <c r="C44" s="621" t="s">
        <v>1004</v>
      </c>
      <c r="D44" s="621"/>
      <c r="E44" s="621"/>
      <c r="F44" s="621"/>
      <c r="G44" s="621"/>
      <c r="H44" s="188"/>
      <c r="I44" s="250">
        <f>SUM(I37:I43)</f>
        <v>0</v>
      </c>
    </row>
    <row r="45" spans="1:9" ht="13.8" customHeight="1">
      <c r="B45" s="621"/>
      <c r="C45" s="621" t="s">
        <v>1005</v>
      </c>
      <c r="D45" s="621"/>
      <c r="E45" s="621"/>
      <c r="F45" s="621"/>
      <c r="G45" s="621"/>
      <c r="H45" s="188"/>
      <c r="I45" s="250">
        <f>I44*30</f>
        <v>0</v>
      </c>
    </row>
    <row r="46" spans="1:9">
      <c r="B46" s="621" t="s">
        <v>539</v>
      </c>
      <c r="C46" s="147" t="s">
        <v>295</v>
      </c>
      <c r="D46" s="147"/>
      <c r="E46" s="188">
        <v>0.85</v>
      </c>
      <c r="F46" s="163">
        <f>F10</f>
        <v>0</v>
      </c>
      <c r="G46" s="163" t="s">
        <v>1444</v>
      </c>
      <c r="H46" s="332">
        <f>IF(G46="","",IF(G46="Flood Irrigation",0.65,IF(G46="Drip Irrigation",0.9,IF(G46="Sprinkler",0.85,""))))</f>
        <v>0.65</v>
      </c>
      <c r="I46" s="333">
        <f>(D46*E46*F46)/(H46)</f>
        <v>0</v>
      </c>
    </row>
    <row r="47" spans="1:9">
      <c r="B47" s="621"/>
      <c r="C47" s="147" t="s">
        <v>296</v>
      </c>
      <c r="D47" s="147"/>
      <c r="E47" s="188">
        <v>0.5</v>
      </c>
      <c r="F47" s="163">
        <f t="shared" ref="F47:F52" si="11">F11</f>
        <v>0</v>
      </c>
      <c r="G47" s="163" t="s">
        <v>1444</v>
      </c>
      <c r="H47" s="332">
        <f t="shared" ref="H47:H52" si="12">IF(G47="","",IF(G47="Flood Irrigation",0.65,IF(G47="Drip Irrigation",0.9,IF(G47="Sprinkler",0.85,""))))</f>
        <v>0.65</v>
      </c>
      <c r="I47" s="333">
        <f t="shared" ref="I47:I52" si="13">(D47*E47*F47)/(H47)</f>
        <v>0</v>
      </c>
    </row>
    <row r="48" spans="1:9">
      <c r="B48" s="621"/>
      <c r="C48" s="147" t="s">
        <v>297</v>
      </c>
      <c r="D48" s="147"/>
      <c r="E48" s="188">
        <v>0.7</v>
      </c>
      <c r="F48" s="163">
        <f t="shared" si="11"/>
        <v>0</v>
      </c>
      <c r="G48" s="163" t="s">
        <v>1444</v>
      </c>
      <c r="H48" s="332">
        <f t="shared" si="12"/>
        <v>0.65</v>
      </c>
      <c r="I48" s="333">
        <f t="shared" si="13"/>
        <v>0</v>
      </c>
    </row>
    <row r="49" spans="2:9">
      <c r="B49" s="621"/>
      <c r="C49" s="147" t="s">
        <v>298</v>
      </c>
      <c r="D49" s="147"/>
      <c r="E49" s="188">
        <v>0.5</v>
      </c>
      <c r="F49" s="163">
        <f t="shared" si="11"/>
        <v>0</v>
      </c>
      <c r="G49" s="163" t="s">
        <v>1444</v>
      </c>
      <c r="H49" s="332">
        <f t="shared" si="12"/>
        <v>0.65</v>
      </c>
      <c r="I49" s="333">
        <f t="shared" si="13"/>
        <v>0</v>
      </c>
    </row>
    <row r="50" spans="2:9" ht="16.2" customHeight="1">
      <c r="B50" s="621"/>
      <c r="C50" s="147" t="s">
        <v>299</v>
      </c>
      <c r="D50" s="147"/>
      <c r="E50" s="188">
        <v>0.2</v>
      </c>
      <c r="F50" s="163">
        <f t="shared" si="11"/>
        <v>0</v>
      </c>
      <c r="G50" s="163" t="s">
        <v>1444</v>
      </c>
      <c r="H50" s="332">
        <f t="shared" si="12"/>
        <v>0.65</v>
      </c>
      <c r="I50" s="333">
        <f t="shared" si="13"/>
        <v>0</v>
      </c>
    </row>
    <row r="51" spans="2:9">
      <c r="B51" s="621"/>
      <c r="C51" s="147" t="s">
        <v>300</v>
      </c>
      <c r="D51" s="147"/>
      <c r="E51" s="188">
        <v>1.2</v>
      </c>
      <c r="F51" s="163">
        <f t="shared" si="11"/>
        <v>0</v>
      </c>
      <c r="G51" s="163" t="s">
        <v>1444</v>
      </c>
      <c r="H51" s="332">
        <f t="shared" si="12"/>
        <v>0.65</v>
      </c>
      <c r="I51" s="333">
        <f t="shared" si="13"/>
        <v>0</v>
      </c>
    </row>
    <row r="52" spans="2:9">
      <c r="B52" s="621"/>
      <c r="C52" s="147" t="s">
        <v>301</v>
      </c>
      <c r="D52" s="147"/>
      <c r="E52" s="188">
        <v>1.3</v>
      </c>
      <c r="F52" s="163">
        <f t="shared" si="11"/>
        <v>0</v>
      </c>
      <c r="G52" s="163" t="s">
        <v>1444</v>
      </c>
      <c r="H52" s="332">
        <f t="shared" si="12"/>
        <v>0.65</v>
      </c>
      <c r="I52" s="333">
        <f t="shared" si="13"/>
        <v>0</v>
      </c>
    </row>
    <row r="53" spans="2:9" ht="13.8" customHeight="1">
      <c r="B53" s="621"/>
      <c r="C53" s="621" t="s">
        <v>1004</v>
      </c>
      <c r="D53" s="621"/>
      <c r="E53" s="621"/>
      <c r="F53" s="621"/>
      <c r="G53" s="621"/>
      <c r="H53" s="188"/>
      <c r="I53" s="250">
        <f>SUM(I46:I52)</f>
        <v>0</v>
      </c>
    </row>
    <row r="54" spans="2:9" ht="13.8" customHeight="1">
      <c r="B54" s="621"/>
      <c r="C54" s="621" t="s">
        <v>1005</v>
      </c>
      <c r="D54" s="621"/>
      <c r="E54" s="621"/>
      <c r="F54" s="621"/>
      <c r="G54" s="621"/>
      <c r="H54" s="188"/>
      <c r="I54" s="250">
        <f>I53*31</f>
        <v>0</v>
      </c>
    </row>
    <row r="55" spans="2:9">
      <c r="B55" s="621" t="s">
        <v>540</v>
      </c>
      <c r="C55" s="147" t="s">
        <v>295</v>
      </c>
      <c r="D55" s="147"/>
      <c r="E55" s="188">
        <v>0.85</v>
      </c>
      <c r="F55" s="163">
        <f>F10</f>
        <v>0</v>
      </c>
      <c r="G55" s="163" t="s">
        <v>1444</v>
      </c>
      <c r="H55" s="332">
        <f>IF(G55="","",IF(G55="Flood Irrigation",0.65,IF(G55="Drip Irrigation",0.9,IF(G55="Sprinkler",0.85,""))))</f>
        <v>0.65</v>
      </c>
      <c r="I55" s="333">
        <f>(D55*E55*F55)/(H55)</f>
        <v>0</v>
      </c>
    </row>
    <row r="56" spans="2:9">
      <c r="B56" s="621"/>
      <c r="C56" s="147" t="s">
        <v>296</v>
      </c>
      <c r="D56" s="147"/>
      <c r="E56" s="188">
        <v>0.5</v>
      </c>
      <c r="F56" s="163">
        <f t="shared" ref="F56:F61" si="14">F11</f>
        <v>0</v>
      </c>
      <c r="G56" s="163" t="s">
        <v>1444</v>
      </c>
      <c r="H56" s="332">
        <f t="shared" ref="H56:H61" si="15">IF(G56="","",IF(G56="Flood Irrigation",0.65,IF(G56="Drip Irrigation",0.9,IF(G56="Sprinkler",0.85,""))))</f>
        <v>0.65</v>
      </c>
      <c r="I56" s="333">
        <f t="shared" ref="I56:I61" si="16">(D56*E56*F56)/(H56)</f>
        <v>0</v>
      </c>
    </row>
    <row r="57" spans="2:9">
      <c r="B57" s="621"/>
      <c r="C57" s="147" t="s">
        <v>297</v>
      </c>
      <c r="D57" s="147"/>
      <c r="E57" s="188">
        <v>0.7</v>
      </c>
      <c r="F57" s="163">
        <f t="shared" si="14"/>
        <v>0</v>
      </c>
      <c r="G57" s="163" t="s">
        <v>1444</v>
      </c>
      <c r="H57" s="332">
        <f t="shared" si="15"/>
        <v>0.65</v>
      </c>
      <c r="I57" s="333">
        <f t="shared" si="16"/>
        <v>0</v>
      </c>
    </row>
    <row r="58" spans="2:9">
      <c r="B58" s="621"/>
      <c r="C58" s="147" t="s">
        <v>298</v>
      </c>
      <c r="D58" s="147"/>
      <c r="E58" s="188">
        <v>0.5</v>
      </c>
      <c r="F58" s="163">
        <f t="shared" si="14"/>
        <v>0</v>
      </c>
      <c r="G58" s="163" t="s">
        <v>1444</v>
      </c>
      <c r="H58" s="332">
        <f t="shared" si="15"/>
        <v>0.65</v>
      </c>
      <c r="I58" s="333">
        <f t="shared" si="16"/>
        <v>0</v>
      </c>
    </row>
    <row r="59" spans="2:9" ht="16.8" customHeight="1">
      <c r="B59" s="621"/>
      <c r="C59" s="147" t="s">
        <v>299</v>
      </c>
      <c r="D59" s="147"/>
      <c r="E59" s="188">
        <v>0.2</v>
      </c>
      <c r="F59" s="163">
        <f t="shared" si="14"/>
        <v>0</v>
      </c>
      <c r="G59" s="163" t="s">
        <v>1444</v>
      </c>
      <c r="H59" s="332">
        <f t="shared" si="15"/>
        <v>0.65</v>
      </c>
      <c r="I59" s="333">
        <f t="shared" si="16"/>
        <v>0</v>
      </c>
    </row>
    <row r="60" spans="2:9">
      <c r="B60" s="621"/>
      <c r="C60" s="147" t="s">
        <v>300</v>
      </c>
      <c r="D60" s="147"/>
      <c r="E60" s="188">
        <v>1.2</v>
      </c>
      <c r="F60" s="163">
        <f t="shared" si="14"/>
        <v>0</v>
      </c>
      <c r="G60" s="163" t="s">
        <v>1444</v>
      </c>
      <c r="H60" s="332">
        <f t="shared" si="15"/>
        <v>0.65</v>
      </c>
      <c r="I60" s="333">
        <f t="shared" si="16"/>
        <v>0</v>
      </c>
    </row>
    <row r="61" spans="2:9">
      <c r="B61" s="621"/>
      <c r="C61" s="147" t="s">
        <v>301</v>
      </c>
      <c r="D61" s="147"/>
      <c r="E61" s="188">
        <v>1.3</v>
      </c>
      <c r="F61" s="163">
        <f t="shared" si="14"/>
        <v>0</v>
      </c>
      <c r="G61" s="163" t="s">
        <v>1444</v>
      </c>
      <c r="H61" s="332">
        <f t="shared" si="15"/>
        <v>0.65</v>
      </c>
      <c r="I61" s="333">
        <f t="shared" si="16"/>
        <v>0</v>
      </c>
    </row>
    <row r="62" spans="2:9" ht="13.8" customHeight="1">
      <c r="B62" s="621"/>
      <c r="C62" s="621" t="s">
        <v>1004</v>
      </c>
      <c r="D62" s="621"/>
      <c r="E62" s="621"/>
      <c r="F62" s="621"/>
      <c r="G62" s="621"/>
      <c r="H62" s="188"/>
      <c r="I62" s="250">
        <f>SUM(I55:I61)</f>
        <v>0</v>
      </c>
    </row>
    <row r="63" spans="2:9" ht="13.8" customHeight="1">
      <c r="B63" s="621"/>
      <c r="C63" s="621" t="s">
        <v>1005</v>
      </c>
      <c r="D63" s="621"/>
      <c r="E63" s="621"/>
      <c r="F63" s="621"/>
      <c r="G63" s="621"/>
      <c r="H63" s="188"/>
      <c r="I63" s="250">
        <f>I62*30</f>
        <v>0</v>
      </c>
    </row>
    <row r="64" spans="2:9">
      <c r="B64" s="621" t="s">
        <v>515</v>
      </c>
      <c r="C64" s="147" t="s">
        <v>295</v>
      </c>
      <c r="D64" s="147"/>
      <c r="E64" s="188">
        <v>0.85</v>
      </c>
      <c r="F64" s="163">
        <f>F10</f>
        <v>0</v>
      </c>
      <c r="G64" s="163" t="s">
        <v>1444</v>
      </c>
      <c r="H64" s="332">
        <f>IF(G64="","",IF(G64="Flood Irrigation",0.65,IF(G64="Drip Irrigation",0.9,IF(G64="Sprinkler",0.85,""))))</f>
        <v>0.65</v>
      </c>
      <c r="I64" s="333">
        <f>(D64*E64*F64)/(H64)</f>
        <v>0</v>
      </c>
    </row>
    <row r="65" spans="2:9">
      <c r="B65" s="621"/>
      <c r="C65" s="147" t="s">
        <v>296</v>
      </c>
      <c r="D65" s="147"/>
      <c r="E65" s="188">
        <v>0.5</v>
      </c>
      <c r="F65" s="163">
        <f t="shared" ref="F65:F70" si="17">F11</f>
        <v>0</v>
      </c>
      <c r="G65" s="163" t="s">
        <v>1444</v>
      </c>
      <c r="H65" s="332">
        <f t="shared" ref="H65:H70" si="18">IF(G65="","",IF(G65="Flood Irrigation",0.65,IF(G65="Drip Irrigation",0.9,IF(G65="Sprinkler",0.85,""))))</f>
        <v>0.65</v>
      </c>
      <c r="I65" s="333">
        <f t="shared" ref="I65:I70" si="19">(D65*E65*F65)/(H65)</f>
        <v>0</v>
      </c>
    </row>
    <row r="66" spans="2:9">
      <c r="B66" s="621"/>
      <c r="C66" s="147" t="s">
        <v>297</v>
      </c>
      <c r="D66" s="147"/>
      <c r="E66" s="188">
        <v>0.7</v>
      </c>
      <c r="F66" s="163">
        <f t="shared" si="17"/>
        <v>0</v>
      </c>
      <c r="G66" s="163" t="s">
        <v>1444</v>
      </c>
      <c r="H66" s="332">
        <f t="shared" si="18"/>
        <v>0.65</v>
      </c>
      <c r="I66" s="333">
        <f t="shared" si="19"/>
        <v>0</v>
      </c>
    </row>
    <row r="67" spans="2:9">
      <c r="B67" s="621"/>
      <c r="C67" s="147" t="s">
        <v>298</v>
      </c>
      <c r="D67" s="147"/>
      <c r="E67" s="188">
        <v>0.5</v>
      </c>
      <c r="F67" s="163">
        <f t="shared" si="17"/>
        <v>0</v>
      </c>
      <c r="G67" s="163" t="s">
        <v>1444</v>
      </c>
      <c r="H67" s="332">
        <f t="shared" si="18"/>
        <v>0.65</v>
      </c>
      <c r="I67" s="333">
        <f t="shared" si="19"/>
        <v>0</v>
      </c>
    </row>
    <row r="68" spans="2:9" ht="15.6" customHeight="1">
      <c r="B68" s="621"/>
      <c r="C68" s="147" t="s">
        <v>299</v>
      </c>
      <c r="D68" s="147"/>
      <c r="E68" s="188">
        <v>0.2</v>
      </c>
      <c r="F68" s="163">
        <f t="shared" si="17"/>
        <v>0</v>
      </c>
      <c r="G68" s="163" t="s">
        <v>1444</v>
      </c>
      <c r="H68" s="332">
        <f t="shared" si="18"/>
        <v>0.65</v>
      </c>
      <c r="I68" s="333">
        <f t="shared" si="19"/>
        <v>0</v>
      </c>
    </row>
    <row r="69" spans="2:9">
      <c r="B69" s="621"/>
      <c r="C69" s="147" t="s">
        <v>300</v>
      </c>
      <c r="D69" s="147"/>
      <c r="E69" s="188">
        <v>1.2</v>
      </c>
      <c r="F69" s="163">
        <f t="shared" si="17"/>
        <v>0</v>
      </c>
      <c r="G69" s="163" t="s">
        <v>1444</v>
      </c>
      <c r="H69" s="332">
        <f t="shared" si="18"/>
        <v>0.65</v>
      </c>
      <c r="I69" s="333">
        <f t="shared" si="19"/>
        <v>0</v>
      </c>
    </row>
    <row r="70" spans="2:9">
      <c r="B70" s="621"/>
      <c r="C70" s="147" t="s">
        <v>301</v>
      </c>
      <c r="D70" s="147"/>
      <c r="E70" s="188">
        <v>1.3</v>
      </c>
      <c r="F70" s="163">
        <f t="shared" si="17"/>
        <v>0</v>
      </c>
      <c r="G70" s="163" t="s">
        <v>1444</v>
      </c>
      <c r="H70" s="332">
        <f t="shared" si="18"/>
        <v>0.65</v>
      </c>
      <c r="I70" s="333">
        <f t="shared" si="19"/>
        <v>0</v>
      </c>
    </row>
    <row r="71" spans="2:9" ht="13.8" customHeight="1">
      <c r="B71" s="621"/>
      <c r="C71" s="621" t="s">
        <v>1004</v>
      </c>
      <c r="D71" s="621"/>
      <c r="E71" s="621"/>
      <c r="F71" s="621"/>
      <c r="G71" s="621"/>
      <c r="H71" s="188"/>
      <c r="I71" s="250">
        <f>SUM(I64:I70)</f>
        <v>0</v>
      </c>
    </row>
    <row r="72" spans="2:9" ht="13.8" customHeight="1">
      <c r="B72" s="621"/>
      <c r="C72" s="621" t="s">
        <v>1005</v>
      </c>
      <c r="D72" s="621"/>
      <c r="E72" s="621"/>
      <c r="F72" s="621"/>
      <c r="G72" s="621"/>
      <c r="H72" s="188"/>
      <c r="I72" s="250">
        <f>I71*31</f>
        <v>0</v>
      </c>
    </row>
    <row r="73" spans="2:9">
      <c r="B73" s="621" t="s">
        <v>516</v>
      </c>
      <c r="C73" s="147" t="s">
        <v>295</v>
      </c>
      <c r="D73" s="147"/>
      <c r="E73" s="188">
        <v>0.85</v>
      </c>
      <c r="F73" s="163">
        <f>F10</f>
        <v>0</v>
      </c>
      <c r="G73" s="163" t="s">
        <v>1444</v>
      </c>
      <c r="H73" s="332">
        <f>IF(G73="","",IF(G73="Flood Irrigation",0.65,IF(G73="Drip Irrigation",0.9,IF(G73="Sprinkler",0.85,""))))</f>
        <v>0.65</v>
      </c>
      <c r="I73" s="333">
        <f>(D73*E73*F73)/(H73)</f>
        <v>0</v>
      </c>
    </row>
    <row r="74" spans="2:9">
      <c r="B74" s="621"/>
      <c r="C74" s="147" t="s">
        <v>296</v>
      </c>
      <c r="D74" s="147"/>
      <c r="E74" s="188">
        <v>0.5</v>
      </c>
      <c r="F74" s="163">
        <f t="shared" ref="F74:F79" si="20">F11</f>
        <v>0</v>
      </c>
      <c r="G74" s="163" t="s">
        <v>1444</v>
      </c>
      <c r="H74" s="332">
        <f t="shared" ref="H74:H79" si="21">IF(G74="","",IF(G74="Flood Irrigation",0.65,IF(G74="Drip Irrigation",0.9,IF(G74="Sprinkler",0.85,""))))</f>
        <v>0.65</v>
      </c>
      <c r="I74" s="333">
        <f t="shared" ref="I74:I79" si="22">(D74*E74*F74)/(H74)</f>
        <v>0</v>
      </c>
    </row>
    <row r="75" spans="2:9">
      <c r="B75" s="621"/>
      <c r="C75" s="147" t="s">
        <v>297</v>
      </c>
      <c r="D75" s="147"/>
      <c r="E75" s="188">
        <v>0.7</v>
      </c>
      <c r="F75" s="163">
        <f t="shared" si="20"/>
        <v>0</v>
      </c>
      <c r="G75" s="163" t="s">
        <v>1444</v>
      </c>
      <c r="H75" s="332">
        <f t="shared" si="21"/>
        <v>0.65</v>
      </c>
      <c r="I75" s="333">
        <f t="shared" si="22"/>
        <v>0</v>
      </c>
    </row>
    <row r="76" spans="2:9">
      <c r="B76" s="621"/>
      <c r="C76" s="147" t="s">
        <v>298</v>
      </c>
      <c r="D76" s="147"/>
      <c r="E76" s="188">
        <v>0.5</v>
      </c>
      <c r="F76" s="163">
        <f t="shared" si="20"/>
        <v>0</v>
      </c>
      <c r="G76" s="163" t="s">
        <v>1444</v>
      </c>
      <c r="H76" s="332">
        <f t="shared" si="21"/>
        <v>0.65</v>
      </c>
      <c r="I76" s="333">
        <f t="shared" si="22"/>
        <v>0</v>
      </c>
    </row>
    <row r="77" spans="2:9" ht="15" customHeight="1">
      <c r="B77" s="621"/>
      <c r="C77" s="147" t="s">
        <v>299</v>
      </c>
      <c r="D77" s="147"/>
      <c r="E77" s="188">
        <v>0.2</v>
      </c>
      <c r="F77" s="163">
        <f t="shared" si="20"/>
        <v>0</v>
      </c>
      <c r="G77" s="163" t="s">
        <v>1444</v>
      </c>
      <c r="H77" s="332">
        <f t="shared" si="21"/>
        <v>0.65</v>
      </c>
      <c r="I77" s="333">
        <f t="shared" si="22"/>
        <v>0</v>
      </c>
    </row>
    <row r="78" spans="2:9">
      <c r="B78" s="621"/>
      <c r="C78" s="147" t="s">
        <v>300</v>
      </c>
      <c r="D78" s="147"/>
      <c r="E78" s="188">
        <v>1.2</v>
      </c>
      <c r="F78" s="163">
        <f t="shared" si="20"/>
        <v>0</v>
      </c>
      <c r="G78" s="163" t="s">
        <v>1444</v>
      </c>
      <c r="H78" s="332">
        <f t="shared" si="21"/>
        <v>0.65</v>
      </c>
      <c r="I78" s="333">
        <f t="shared" si="22"/>
        <v>0</v>
      </c>
    </row>
    <row r="79" spans="2:9">
      <c r="B79" s="621"/>
      <c r="C79" s="147" t="s">
        <v>301</v>
      </c>
      <c r="D79" s="147"/>
      <c r="E79" s="188">
        <v>1.3</v>
      </c>
      <c r="F79" s="163">
        <f t="shared" si="20"/>
        <v>0</v>
      </c>
      <c r="G79" s="163" t="s">
        <v>1444</v>
      </c>
      <c r="H79" s="332">
        <f t="shared" si="21"/>
        <v>0.65</v>
      </c>
      <c r="I79" s="333">
        <f t="shared" si="22"/>
        <v>0</v>
      </c>
    </row>
    <row r="80" spans="2:9" ht="13.8" customHeight="1">
      <c r="B80" s="621"/>
      <c r="C80" s="621" t="s">
        <v>1004</v>
      </c>
      <c r="D80" s="621"/>
      <c r="E80" s="621"/>
      <c r="F80" s="621"/>
      <c r="G80" s="621"/>
      <c r="H80" s="188"/>
      <c r="I80" s="250">
        <f>SUM(I73:I79)</f>
        <v>0</v>
      </c>
    </row>
    <row r="81" spans="2:9" ht="13.8" customHeight="1">
      <c r="B81" s="621"/>
      <c r="C81" s="621" t="s">
        <v>1005</v>
      </c>
      <c r="D81" s="621"/>
      <c r="E81" s="621"/>
      <c r="F81" s="621"/>
      <c r="G81" s="621"/>
      <c r="H81" s="188"/>
      <c r="I81" s="250">
        <f>I80*31</f>
        <v>0</v>
      </c>
    </row>
    <row r="82" spans="2:9">
      <c r="B82" s="621" t="s">
        <v>517</v>
      </c>
      <c r="C82" s="147" t="s">
        <v>295</v>
      </c>
      <c r="D82" s="147"/>
      <c r="E82" s="188">
        <v>0.85</v>
      </c>
      <c r="F82" s="163">
        <f>F10</f>
        <v>0</v>
      </c>
      <c r="G82" s="163" t="s">
        <v>1444</v>
      </c>
      <c r="H82" s="332">
        <f>IF(G82="","",IF(G82="Flood Irrigation",0.65,IF(G82="Drip Irrigation",0.9,IF(G82="Sprinkler",0.85,""))))</f>
        <v>0.65</v>
      </c>
      <c r="I82" s="333">
        <f>(D82*E82*F82)/(H82)</f>
        <v>0</v>
      </c>
    </row>
    <row r="83" spans="2:9">
      <c r="B83" s="621"/>
      <c r="C83" s="147" t="s">
        <v>296</v>
      </c>
      <c r="D83" s="147"/>
      <c r="E83" s="188">
        <v>0.5</v>
      </c>
      <c r="F83" s="163">
        <f t="shared" ref="F83:F88" si="23">F11</f>
        <v>0</v>
      </c>
      <c r="G83" s="163" t="s">
        <v>1444</v>
      </c>
      <c r="H83" s="332">
        <f t="shared" ref="H83:H88" si="24">IF(G83="","",IF(G83="Flood Irrigation",0.65,IF(G83="Drip Irrigation",0.9,IF(G83="Sprinkler",0.85,""))))</f>
        <v>0.65</v>
      </c>
      <c r="I83" s="333">
        <f t="shared" ref="I83:I88" si="25">(D83*E83*F83)/(H83)</f>
        <v>0</v>
      </c>
    </row>
    <row r="84" spans="2:9">
      <c r="B84" s="621"/>
      <c r="C84" s="147" t="s">
        <v>297</v>
      </c>
      <c r="D84" s="147"/>
      <c r="E84" s="188">
        <v>0.7</v>
      </c>
      <c r="F84" s="163">
        <f t="shared" si="23"/>
        <v>0</v>
      </c>
      <c r="G84" s="163" t="s">
        <v>1444</v>
      </c>
      <c r="H84" s="332">
        <f t="shared" si="24"/>
        <v>0.65</v>
      </c>
      <c r="I84" s="333">
        <f t="shared" si="25"/>
        <v>0</v>
      </c>
    </row>
    <row r="85" spans="2:9">
      <c r="B85" s="621"/>
      <c r="C85" s="147" t="s">
        <v>298</v>
      </c>
      <c r="D85" s="147"/>
      <c r="E85" s="188">
        <v>0.5</v>
      </c>
      <c r="F85" s="163">
        <f t="shared" si="23"/>
        <v>0</v>
      </c>
      <c r="G85" s="163" t="s">
        <v>1444</v>
      </c>
      <c r="H85" s="332">
        <f t="shared" si="24"/>
        <v>0.65</v>
      </c>
      <c r="I85" s="333">
        <f t="shared" si="25"/>
        <v>0</v>
      </c>
    </row>
    <row r="86" spans="2:9" ht="16.2" customHeight="1">
      <c r="B86" s="621"/>
      <c r="C86" s="147" t="s">
        <v>299</v>
      </c>
      <c r="D86" s="147"/>
      <c r="E86" s="188">
        <v>0.2</v>
      </c>
      <c r="F86" s="163">
        <f t="shared" si="23"/>
        <v>0</v>
      </c>
      <c r="G86" s="163" t="s">
        <v>1444</v>
      </c>
      <c r="H86" s="332">
        <f t="shared" si="24"/>
        <v>0.65</v>
      </c>
      <c r="I86" s="333">
        <f t="shared" si="25"/>
        <v>0</v>
      </c>
    </row>
    <row r="87" spans="2:9">
      <c r="B87" s="621"/>
      <c r="C87" s="147" t="s">
        <v>300</v>
      </c>
      <c r="D87" s="147"/>
      <c r="E87" s="188">
        <v>1.2</v>
      </c>
      <c r="F87" s="163">
        <f t="shared" si="23"/>
        <v>0</v>
      </c>
      <c r="G87" s="163" t="s">
        <v>1444</v>
      </c>
      <c r="H87" s="332">
        <f t="shared" si="24"/>
        <v>0.65</v>
      </c>
      <c r="I87" s="333">
        <f t="shared" si="25"/>
        <v>0</v>
      </c>
    </row>
    <row r="88" spans="2:9">
      <c r="B88" s="621"/>
      <c r="C88" s="147" t="s">
        <v>301</v>
      </c>
      <c r="D88" s="147"/>
      <c r="E88" s="188">
        <v>1.3</v>
      </c>
      <c r="F88" s="163">
        <f t="shared" si="23"/>
        <v>0</v>
      </c>
      <c r="G88" s="163" t="s">
        <v>1444</v>
      </c>
      <c r="H88" s="332">
        <f t="shared" si="24"/>
        <v>0.65</v>
      </c>
      <c r="I88" s="333">
        <f t="shared" si="25"/>
        <v>0</v>
      </c>
    </row>
    <row r="89" spans="2:9" ht="13.8" customHeight="1">
      <c r="B89" s="621"/>
      <c r="C89" s="621" t="s">
        <v>1004</v>
      </c>
      <c r="D89" s="621"/>
      <c r="E89" s="621"/>
      <c r="F89" s="621"/>
      <c r="G89" s="621"/>
      <c r="H89" s="188"/>
      <c r="I89" s="250">
        <f>SUM(I82:I88)</f>
        <v>0</v>
      </c>
    </row>
    <row r="90" spans="2:9" ht="13.8" customHeight="1">
      <c r="B90" s="621"/>
      <c r="C90" s="621" t="s">
        <v>1005</v>
      </c>
      <c r="D90" s="621"/>
      <c r="E90" s="621"/>
      <c r="F90" s="621"/>
      <c r="G90" s="621"/>
      <c r="H90" s="188"/>
      <c r="I90" s="250">
        <f>I89*30</f>
        <v>0</v>
      </c>
    </row>
    <row r="91" spans="2:9">
      <c r="B91" s="621" t="s">
        <v>518</v>
      </c>
      <c r="C91" s="147" t="s">
        <v>295</v>
      </c>
      <c r="D91" s="147"/>
      <c r="E91" s="188">
        <v>0.85</v>
      </c>
      <c r="F91" s="163">
        <f>F10</f>
        <v>0</v>
      </c>
      <c r="G91" s="163" t="s">
        <v>1444</v>
      </c>
      <c r="H91" s="332">
        <f>IF(G91="","",IF(G91="Flood Irrigation",0.65,IF(G91="Drip Irrigation",0.9,IF(G91="Sprinkler",0.85,""))))</f>
        <v>0.65</v>
      </c>
      <c r="I91" s="333">
        <f>(D91*E91*F91)/(H91)</f>
        <v>0</v>
      </c>
    </row>
    <row r="92" spans="2:9">
      <c r="B92" s="621"/>
      <c r="C92" s="147" t="s">
        <v>296</v>
      </c>
      <c r="D92" s="147"/>
      <c r="E92" s="188">
        <v>0.5</v>
      </c>
      <c r="F92" s="163">
        <f t="shared" ref="F92:F97" si="26">F11</f>
        <v>0</v>
      </c>
      <c r="G92" s="163" t="s">
        <v>1444</v>
      </c>
      <c r="H92" s="332">
        <f t="shared" ref="H92:H97" si="27">IF(G92="","",IF(G92="Flood Irrigation",0.65,IF(G92="Drip Irrigation",0.9,IF(G92="Sprinkler",0.85,""))))</f>
        <v>0.65</v>
      </c>
      <c r="I92" s="333">
        <f t="shared" ref="I92:I97" si="28">(D92*E92*F92)/(H92)</f>
        <v>0</v>
      </c>
    </row>
    <row r="93" spans="2:9">
      <c r="B93" s="621"/>
      <c r="C93" s="147" t="s">
        <v>297</v>
      </c>
      <c r="D93" s="147"/>
      <c r="E93" s="188">
        <v>0.7</v>
      </c>
      <c r="F93" s="163">
        <f t="shared" si="26"/>
        <v>0</v>
      </c>
      <c r="G93" s="163" t="s">
        <v>1444</v>
      </c>
      <c r="H93" s="332">
        <f t="shared" si="27"/>
        <v>0.65</v>
      </c>
      <c r="I93" s="333">
        <f t="shared" si="28"/>
        <v>0</v>
      </c>
    </row>
    <row r="94" spans="2:9">
      <c r="B94" s="621"/>
      <c r="C94" s="147" t="s">
        <v>298</v>
      </c>
      <c r="D94" s="147"/>
      <c r="E94" s="188">
        <v>0.5</v>
      </c>
      <c r="F94" s="163">
        <f t="shared" si="26"/>
        <v>0</v>
      </c>
      <c r="G94" s="163" t="s">
        <v>1444</v>
      </c>
      <c r="H94" s="332">
        <f t="shared" si="27"/>
        <v>0.65</v>
      </c>
      <c r="I94" s="333">
        <f t="shared" si="28"/>
        <v>0</v>
      </c>
    </row>
    <row r="95" spans="2:9" ht="16.2" customHeight="1">
      <c r="B95" s="621"/>
      <c r="C95" s="147" t="s">
        <v>299</v>
      </c>
      <c r="D95" s="147"/>
      <c r="E95" s="188">
        <v>0.2</v>
      </c>
      <c r="F95" s="163">
        <f t="shared" si="26"/>
        <v>0</v>
      </c>
      <c r="G95" s="163" t="s">
        <v>1444</v>
      </c>
      <c r="H95" s="332">
        <f t="shared" si="27"/>
        <v>0.65</v>
      </c>
      <c r="I95" s="333">
        <f t="shared" si="28"/>
        <v>0</v>
      </c>
    </row>
    <row r="96" spans="2:9">
      <c r="B96" s="621"/>
      <c r="C96" s="147" t="s">
        <v>300</v>
      </c>
      <c r="D96" s="147"/>
      <c r="E96" s="188">
        <v>1.2</v>
      </c>
      <c r="F96" s="163">
        <f t="shared" si="26"/>
        <v>0</v>
      </c>
      <c r="G96" s="163" t="s">
        <v>1444</v>
      </c>
      <c r="H96" s="332">
        <f t="shared" si="27"/>
        <v>0.65</v>
      </c>
      <c r="I96" s="333">
        <f t="shared" si="28"/>
        <v>0</v>
      </c>
    </row>
    <row r="97" spans="2:9">
      <c r="B97" s="621"/>
      <c r="C97" s="147" t="s">
        <v>301</v>
      </c>
      <c r="D97" s="147"/>
      <c r="E97" s="188">
        <v>1.3</v>
      </c>
      <c r="F97" s="163">
        <f t="shared" si="26"/>
        <v>0</v>
      </c>
      <c r="G97" s="163" t="s">
        <v>1444</v>
      </c>
      <c r="H97" s="332">
        <f t="shared" si="27"/>
        <v>0.65</v>
      </c>
      <c r="I97" s="333">
        <f t="shared" si="28"/>
        <v>0</v>
      </c>
    </row>
    <row r="98" spans="2:9" ht="13.8" customHeight="1">
      <c r="B98" s="621"/>
      <c r="C98" s="621" t="s">
        <v>1004</v>
      </c>
      <c r="D98" s="621"/>
      <c r="E98" s="621"/>
      <c r="F98" s="621"/>
      <c r="G98" s="621"/>
      <c r="H98" s="188"/>
      <c r="I98" s="250">
        <f>SUM(I91:I97)</f>
        <v>0</v>
      </c>
    </row>
    <row r="99" spans="2:9" ht="13.8" customHeight="1">
      <c r="B99" s="621"/>
      <c r="C99" s="621" t="s">
        <v>1005</v>
      </c>
      <c r="D99" s="621"/>
      <c r="E99" s="621"/>
      <c r="F99" s="621"/>
      <c r="G99" s="621"/>
      <c r="H99" s="188"/>
      <c r="I99" s="250">
        <f>I98*31</f>
        <v>0</v>
      </c>
    </row>
    <row r="100" spans="2:9">
      <c r="B100" s="621" t="s">
        <v>519</v>
      </c>
      <c r="C100" s="147" t="s">
        <v>295</v>
      </c>
      <c r="D100" s="147"/>
      <c r="E100" s="188">
        <v>0.85</v>
      </c>
      <c r="F100" s="163">
        <f>F10</f>
        <v>0</v>
      </c>
      <c r="G100" s="163" t="s">
        <v>1444</v>
      </c>
      <c r="H100" s="332">
        <f>IF(G100="","",IF(G100="Flood Irrigation",0.65,IF(G100="Drip Irrigation",0.9,IF(G100="Sprinkler",0.85,""))))</f>
        <v>0.65</v>
      </c>
      <c r="I100" s="333">
        <f>(D100*E100*F100)/(H100)</f>
        <v>0</v>
      </c>
    </row>
    <row r="101" spans="2:9">
      <c r="B101" s="621"/>
      <c r="C101" s="147" t="s">
        <v>296</v>
      </c>
      <c r="D101" s="147"/>
      <c r="E101" s="188">
        <v>0.5</v>
      </c>
      <c r="F101" s="163">
        <f t="shared" ref="F101:F106" si="29">F11</f>
        <v>0</v>
      </c>
      <c r="G101" s="163" t="s">
        <v>1444</v>
      </c>
      <c r="H101" s="332">
        <f t="shared" ref="H101:H106" si="30">IF(G101="","",IF(G101="Flood Irrigation",0.65,IF(G101="Drip Irrigation",0.9,IF(G101="Sprinkler",0.85,""))))</f>
        <v>0.65</v>
      </c>
      <c r="I101" s="333">
        <f t="shared" ref="I101:I106" si="31">(D101*E101*F101)/(H101)</f>
        <v>0</v>
      </c>
    </row>
    <row r="102" spans="2:9">
      <c r="B102" s="621"/>
      <c r="C102" s="147" t="s">
        <v>297</v>
      </c>
      <c r="D102" s="147"/>
      <c r="E102" s="188">
        <v>0.7</v>
      </c>
      <c r="F102" s="163">
        <f t="shared" si="29"/>
        <v>0</v>
      </c>
      <c r="G102" s="163" t="s">
        <v>1444</v>
      </c>
      <c r="H102" s="332">
        <f t="shared" si="30"/>
        <v>0.65</v>
      </c>
      <c r="I102" s="333">
        <f t="shared" si="31"/>
        <v>0</v>
      </c>
    </row>
    <row r="103" spans="2:9">
      <c r="B103" s="621"/>
      <c r="C103" s="147" t="s">
        <v>298</v>
      </c>
      <c r="D103" s="147"/>
      <c r="E103" s="188">
        <v>0.5</v>
      </c>
      <c r="F103" s="163">
        <f t="shared" si="29"/>
        <v>0</v>
      </c>
      <c r="G103" s="163" t="s">
        <v>1444</v>
      </c>
      <c r="H103" s="332">
        <f t="shared" si="30"/>
        <v>0.65</v>
      </c>
      <c r="I103" s="333">
        <f t="shared" si="31"/>
        <v>0</v>
      </c>
    </row>
    <row r="104" spans="2:9" ht="13.8" customHeight="1">
      <c r="B104" s="621"/>
      <c r="C104" s="147" t="s">
        <v>299</v>
      </c>
      <c r="D104" s="147"/>
      <c r="E104" s="188">
        <v>0.2</v>
      </c>
      <c r="F104" s="163">
        <f t="shared" si="29"/>
        <v>0</v>
      </c>
      <c r="G104" s="163" t="s">
        <v>1444</v>
      </c>
      <c r="H104" s="332">
        <f t="shared" si="30"/>
        <v>0.65</v>
      </c>
      <c r="I104" s="333">
        <f t="shared" si="31"/>
        <v>0</v>
      </c>
    </row>
    <row r="105" spans="2:9">
      <c r="B105" s="621"/>
      <c r="C105" s="147" t="s">
        <v>300</v>
      </c>
      <c r="D105" s="147"/>
      <c r="E105" s="188">
        <v>1.2</v>
      </c>
      <c r="F105" s="163">
        <f t="shared" si="29"/>
        <v>0</v>
      </c>
      <c r="G105" s="163" t="s">
        <v>1444</v>
      </c>
      <c r="H105" s="332">
        <f t="shared" si="30"/>
        <v>0.65</v>
      </c>
      <c r="I105" s="333">
        <f t="shared" si="31"/>
        <v>0</v>
      </c>
    </row>
    <row r="106" spans="2:9">
      <c r="B106" s="621"/>
      <c r="C106" s="147" t="s">
        <v>301</v>
      </c>
      <c r="D106" s="147"/>
      <c r="E106" s="188">
        <v>1.3</v>
      </c>
      <c r="F106" s="163">
        <f t="shared" si="29"/>
        <v>0</v>
      </c>
      <c r="G106" s="163" t="s">
        <v>1444</v>
      </c>
      <c r="H106" s="332">
        <f t="shared" si="30"/>
        <v>0.65</v>
      </c>
      <c r="I106" s="333">
        <f t="shared" si="31"/>
        <v>0</v>
      </c>
    </row>
    <row r="107" spans="2:9" ht="13.8" customHeight="1">
      <c r="B107" s="621"/>
      <c r="C107" s="621" t="s">
        <v>1004</v>
      </c>
      <c r="D107" s="621"/>
      <c r="E107" s="621"/>
      <c r="F107" s="621"/>
      <c r="G107" s="621"/>
      <c r="H107" s="188"/>
      <c r="I107" s="250">
        <f>SUM(I100:I106)</f>
        <v>0</v>
      </c>
    </row>
    <row r="108" spans="2:9" ht="13.8" customHeight="1">
      <c r="B108" s="621"/>
      <c r="C108" s="621" t="s">
        <v>1005</v>
      </c>
      <c r="D108" s="621"/>
      <c r="E108" s="621"/>
      <c r="F108" s="621"/>
      <c r="G108" s="621"/>
      <c r="H108" s="188"/>
      <c r="I108" s="250">
        <f>I107*30</f>
        <v>0</v>
      </c>
    </row>
    <row r="109" spans="2:9">
      <c r="B109" s="621" t="s">
        <v>541</v>
      </c>
      <c r="C109" s="147" t="s">
        <v>295</v>
      </c>
      <c r="D109" s="147"/>
      <c r="E109" s="188">
        <v>0.85</v>
      </c>
      <c r="F109" s="163">
        <f>F10</f>
        <v>0</v>
      </c>
      <c r="G109" s="163" t="s">
        <v>1444</v>
      </c>
      <c r="H109" s="332">
        <f>IF(G109="","",IF(G109="Flood Irrigation",0.65,IF(G109="Drip Irrigation",0.9,IF(G109="Sprinkler",0.85,""))))</f>
        <v>0.65</v>
      </c>
      <c r="I109" s="333">
        <f>(D109*E109*F109)/(H109)</f>
        <v>0</v>
      </c>
    </row>
    <row r="110" spans="2:9">
      <c r="B110" s="621"/>
      <c r="C110" s="147" t="s">
        <v>296</v>
      </c>
      <c r="D110" s="147"/>
      <c r="E110" s="188">
        <v>0.5</v>
      </c>
      <c r="F110" s="163">
        <f t="shared" ref="F110:F115" si="32">F11</f>
        <v>0</v>
      </c>
      <c r="G110" s="163" t="s">
        <v>1444</v>
      </c>
      <c r="H110" s="332">
        <f t="shared" ref="H110:H115" si="33">IF(G110="","",IF(G110="Flood Irrigation",0.65,IF(G110="Drip Irrigation",0.9,IF(G110="Sprinkler",0.85,""))))</f>
        <v>0.65</v>
      </c>
      <c r="I110" s="333">
        <f t="shared" ref="I110:I115" si="34">(D110*E110*F110)/(H110)</f>
        <v>0</v>
      </c>
    </row>
    <row r="111" spans="2:9">
      <c r="B111" s="621"/>
      <c r="C111" s="147" t="s">
        <v>297</v>
      </c>
      <c r="D111" s="147"/>
      <c r="E111" s="188">
        <v>0.7</v>
      </c>
      <c r="F111" s="163">
        <f t="shared" si="32"/>
        <v>0</v>
      </c>
      <c r="G111" s="163" t="s">
        <v>1444</v>
      </c>
      <c r="H111" s="332">
        <f t="shared" si="33"/>
        <v>0.65</v>
      </c>
      <c r="I111" s="333">
        <f t="shared" si="34"/>
        <v>0</v>
      </c>
    </row>
    <row r="112" spans="2:9">
      <c r="B112" s="621"/>
      <c r="C112" s="147" t="s">
        <v>298</v>
      </c>
      <c r="D112" s="147"/>
      <c r="E112" s="188">
        <v>0.5</v>
      </c>
      <c r="F112" s="163">
        <f t="shared" si="32"/>
        <v>0</v>
      </c>
      <c r="G112" s="163" t="s">
        <v>1444</v>
      </c>
      <c r="H112" s="332">
        <f t="shared" si="33"/>
        <v>0.65</v>
      </c>
      <c r="I112" s="333">
        <f t="shared" si="34"/>
        <v>0</v>
      </c>
    </row>
    <row r="113" spans="2:14" ht="15" customHeight="1">
      <c r="B113" s="621"/>
      <c r="C113" s="147" t="s">
        <v>299</v>
      </c>
      <c r="D113" s="147"/>
      <c r="E113" s="188">
        <v>0.2</v>
      </c>
      <c r="F113" s="163">
        <f t="shared" si="32"/>
        <v>0</v>
      </c>
      <c r="G113" s="163" t="s">
        <v>1444</v>
      </c>
      <c r="H113" s="332">
        <f t="shared" si="33"/>
        <v>0.65</v>
      </c>
      <c r="I113" s="333">
        <f t="shared" si="34"/>
        <v>0</v>
      </c>
    </row>
    <row r="114" spans="2:14">
      <c r="B114" s="621"/>
      <c r="C114" s="147" t="s">
        <v>300</v>
      </c>
      <c r="D114" s="147"/>
      <c r="E114" s="188">
        <v>1.2</v>
      </c>
      <c r="F114" s="163">
        <f t="shared" si="32"/>
        <v>0</v>
      </c>
      <c r="G114" s="163" t="s">
        <v>1444</v>
      </c>
      <c r="H114" s="332">
        <f t="shared" si="33"/>
        <v>0.65</v>
      </c>
      <c r="I114" s="333">
        <f t="shared" si="34"/>
        <v>0</v>
      </c>
    </row>
    <row r="115" spans="2:14">
      <c r="B115" s="621"/>
      <c r="C115" s="147" t="s">
        <v>301</v>
      </c>
      <c r="D115" s="147"/>
      <c r="E115" s="188">
        <v>1.3</v>
      </c>
      <c r="F115" s="163">
        <f t="shared" si="32"/>
        <v>0</v>
      </c>
      <c r="G115" s="163" t="s">
        <v>1444</v>
      </c>
      <c r="H115" s="332">
        <f t="shared" si="33"/>
        <v>0.65</v>
      </c>
      <c r="I115" s="333">
        <f t="shared" si="34"/>
        <v>0</v>
      </c>
    </row>
    <row r="116" spans="2:14" ht="13.8" customHeight="1">
      <c r="B116" s="621"/>
      <c r="C116" s="621" t="s">
        <v>1004</v>
      </c>
      <c r="D116" s="621"/>
      <c r="E116" s="621"/>
      <c r="F116" s="621"/>
      <c r="G116" s="621"/>
      <c r="H116" s="188"/>
      <c r="I116" s="250">
        <f>SUM(I109:I115)</f>
        <v>0</v>
      </c>
    </row>
    <row r="117" spans="2:14" ht="13.8" customHeight="1">
      <c r="B117" s="621"/>
      <c r="C117" s="621" t="s">
        <v>1005</v>
      </c>
      <c r="D117" s="621"/>
      <c r="E117" s="621"/>
      <c r="F117" s="621"/>
      <c r="G117" s="621"/>
      <c r="H117" s="188"/>
      <c r="I117" s="250">
        <f>I116*31</f>
        <v>0</v>
      </c>
    </row>
    <row r="118" spans="2:14" ht="15.6" customHeight="1">
      <c r="B118" s="725" t="s">
        <v>1006</v>
      </c>
      <c r="C118" s="725"/>
      <c r="D118" s="725"/>
      <c r="E118" s="725"/>
      <c r="F118" s="725"/>
      <c r="G118" s="725"/>
      <c r="H118" s="244"/>
      <c r="I118" s="334">
        <f>SUM(I18+I27+I36+I45+I54+I63+I72+I81+I90+I99+I108+I117)</f>
        <v>0</v>
      </c>
    </row>
    <row r="119" spans="2:14" ht="15.6" customHeight="1">
      <c r="B119" s="725" t="s">
        <v>1007</v>
      </c>
      <c r="C119" s="725"/>
      <c r="D119" s="725"/>
      <c r="E119" s="725"/>
      <c r="F119" s="725"/>
      <c r="G119" s="725"/>
      <c r="H119" s="244"/>
      <c r="I119" s="334">
        <f>I118/365</f>
        <v>0</v>
      </c>
    </row>
    <row r="120" spans="2:14" ht="15.6" customHeight="1">
      <c r="B120" s="725" t="s">
        <v>1008</v>
      </c>
      <c r="C120" s="725"/>
      <c r="D120" s="725"/>
      <c r="E120" s="725"/>
      <c r="F120" s="725"/>
      <c r="G120" s="725"/>
      <c r="H120" s="244"/>
      <c r="I120" s="249"/>
    </row>
    <row r="121" spans="2:14" ht="15.6">
      <c r="B121" s="725" t="s">
        <v>1009</v>
      </c>
      <c r="C121" s="725"/>
      <c r="D121" s="725"/>
      <c r="E121" s="725"/>
      <c r="F121" s="725"/>
      <c r="G121" s="725"/>
      <c r="H121" s="244"/>
      <c r="I121" s="335">
        <f>IFERROR((I120-I119)/I120,0)</f>
        <v>0</v>
      </c>
    </row>
    <row r="122" spans="2:14" ht="27.6" customHeight="1">
      <c r="B122" s="747" t="s">
        <v>329</v>
      </c>
      <c r="C122" s="747"/>
      <c r="D122" s="585" t="s">
        <v>1446</v>
      </c>
      <c r="E122" s="585"/>
      <c r="F122" s="585"/>
      <c r="G122" s="328" t="s">
        <v>603</v>
      </c>
      <c r="H122" s="578">
        <f>IF(I121&gt;=20%,1,0)</f>
        <v>0</v>
      </c>
      <c r="I122" s="578"/>
    </row>
    <row r="123" spans="2:14" ht="22.2" customHeight="1">
      <c r="B123" s="570"/>
      <c r="C123" s="570"/>
      <c r="D123" s="329"/>
      <c r="E123" s="585"/>
      <c r="F123" s="585"/>
      <c r="G123" s="585"/>
      <c r="H123" s="585"/>
      <c r="I123" s="585"/>
    </row>
    <row r="124" spans="2:14" ht="19.95" customHeight="1">
      <c r="B124" s="754" t="s">
        <v>943</v>
      </c>
      <c r="C124" s="754"/>
      <c r="D124" s="755" t="s">
        <v>942</v>
      </c>
      <c r="E124" s="755"/>
      <c r="F124" s="755"/>
      <c r="G124" s="755"/>
      <c r="H124" s="330"/>
      <c r="I124" s="207"/>
    </row>
    <row r="125" spans="2:14">
      <c r="E125" s="331"/>
      <c r="F125" s="331"/>
      <c r="G125" s="331"/>
      <c r="H125" s="331"/>
      <c r="I125" s="331"/>
    </row>
    <row r="126" spans="2:14" ht="19.95" customHeight="1">
      <c r="B126" s="539" t="s">
        <v>36</v>
      </c>
      <c r="C126" s="539"/>
      <c r="D126" s="539"/>
      <c r="E126" s="275"/>
      <c r="F126" s="275"/>
      <c r="G126" s="751" t="s">
        <v>189</v>
      </c>
      <c r="H126" s="751"/>
      <c r="I126" s="751"/>
      <c r="J126" s="751"/>
      <c r="K126" s="751"/>
      <c r="L126" s="750">
        <f>D1</f>
        <v>0</v>
      </c>
      <c r="M126" s="750"/>
      <c r="N126" s="750"/>
    </row>
    <row r="127" spans="2:14">
      <c r="B127" s="97"/>
      <c r="C127" s="97"/>
      <c r="D127" s="97"/>
      <c r="E127" s="97"/>
      <c r="F127" s="97"/>
      <c r="G127" s="97"/>
      <c r="H127" s="97"/>
      <c r="I127" s="97"/>
    </row>
    <row r="128" spans="2:14">
      <c r="B128" s="537" t="s">
        <v>1661</v>
      </c>
      <c r="C128" s="537"/>
      <c r="D128" s="537"/>
      <c r="E128" s="537"/>
      <c r="F128" s="537"/>
      <c r="G128" s="537"/>
      <c r="H128" s="537"/>
      <c r="I128" s="537"/>
    </row>
    <row r="129" spans="1:9" ht="15.6" customHeight="1">
      <c r="B129" s="581" t="s">
        <v>951</v>
      </c>
      <c r="C129" s="581"/>
      <c r="D129" s="92"/>
      <c r="E129" s="92"/>
      <c r="F129" s="92"/>
      <c r="G129" s="92"/>
      <c r="H129" s="92"/>
      <c r="I129" s="92"/>
    </row>
    <row r="130" spans="1:9" ht="17.399999999999999">
      <c r="A130" s="114"/>
      <c r="B130" s="538" t="s">
        <v>952</v>
      </c>
      <c r="C130" s="538"/>
      <c r="D130" s="538"/>
      <c r="E130" s="538"/>
      <c r="F130" s="97"/>
      <c r="G130" s="97"/>
      <c r="H130" s="97"/>
      <c r="I130" s="101" t="s">
        <v>139</v>
      </c>
    </row>
    <row r="131" spans="1:9" ht="17.399999999999999">
      <c r="A131" s="114"/>
      <c r="B131" s="538" t="s">
        <v>954</v>
      </c>
      <c r="C131" s="538"/>
      <c r="D131" s="538"/>
      <c r="E131" s="538"/>
      <c r="F131" s="97"/>
      <c r="G131" s="97"/>
      <c r="H131" s="97"/>
      <c r="I131" s="101" t="s">
        <v>139</v>
      </c>
    </row>
    <row r="132" spans="1:9" ht="17.399999999999999">
      <c r="A132" s="114"/>
      <c r="B132" s="538" t="s">
        <v>953</v>
      </c>
      <c r="C132" s="538"/>
      <c r="D132" s="538"/>
      <c r="E132" s="538"/>
      <c r="F132" s="97"/>
      <c r="G132" s="97"/>
      <c r="H132" s="97"/>
      <c r="I132" s="101" t="s">
        <v>139</v>
      </c>
    </row>
    <row r="133" spans="1:9" ht="14.4">
      <c r="A133" s="114"/>
      <c r="B133" s="531" t="s">
        <v>147</v>
      </c>
      <c r="C133" s="531"/>
      <c r="D133" s="531"/>
      <c r="E133" s="531"/>
      <c r="F133" s="531"/>
      <c r="G133" s="531"/>
      <c r="H133" s="531"/>
      <c r="I133" s="531"/>
    </row>
    <row r="134" spans="1:9" ht="14.4">
      <c r="A134" s="114"/>
      <c r="B134" s="97"/>
      <c r="C134" s="97"/>
      <c r="D134" s="97"/>
      <c r="E134" s="97"/>
      <c r="F134" s="97"/>
      <c r="G134" s="97"/>
      <c r="H134" s="97"/>
      <c r="I134" s="97"/>
    </row>
    <row r="135" spans="1:9" ht="14.4">
      <c r="A135" s="114"/>
      <c r="B135" s="97"/>
      <c r="C135" s="97"/>
      <c r="D135" s="97"/>
      <c r="E135" s="97"/>
      <c r="F135" s="97"/>
      <c r="G135" s="97"/>
      <c r="H135" s="97"/>
      <c r="I135" s="97"/>
    </row>
    <row r="136" spans="1:9" ht="14.4">
      <c r="A136" s="114"/>
    </row>
  </sheetData>
  <sheetProtection sheet="1" objects="1" scenarios="1"/>
  <mergeCells count="86">
    <mergeCell ref="B5:I5"/>
    <mergeCell ref="K5:N5"/>
    <mergeCell ref="B6:N6"/>
    <mergeCell ref="M3:N3"/>
    <mergeCell ref="K23:M23"/>
    <mergeCell ref="K22:M22"/>
    <mergeCell ref="B8:I8"/>
    <mergeCell ref="K4:N4"/>
    <mergeCell ref="K8:N8"/>
    <mergeCell ref="L10:M10"/>
    <mergeCell ref="L11:M11"/>
    <mergeCell ref="C18:G18"/>
    <mergeCell ref="L9:M9"/>
    <mergeCell ref="K7:L7"/>
    <mergeCell ref="L12:M12"/>
    <mergeCell ref="B7:G7"/>
    <mergeCell ref="K27:N27"/>
    <mergeCell ref="K26:M26"/>
    <mergeCell ref="B122:C122"/>
    <mergeCell ref="D122:F122"/>
    <mergeCell ref="H122:I122"/>
    <mergeCell ref="B19:B27"/>
    <mergeCell ref="C26:G26"/>
    <mergeCell ref="C27:G27"/>
    <mergeCell ref="K24:M24"/>
    <mergeCell ref="K25:M25"/>
    <mergeCell ref="K20:N20"/>
    <mergeCell ref="K21:L21"/>
    <mergeCell ref="K15:N19"/>
    <mergeCell ref="B10:B18"/>
    <mergeCell ref="C17:G17"/>
    <mergeCell ref="C107:G107"/>
    <mergeCell ref="M2:N2"/>
    <mergeCell ref="B1:C1"/>
    <mergeCell ref="D1:J1"/>
    <mergeCell ref="M1:N1"/>
    <mergeCell ref="K1:L1"/>
    <mergeCell ref="J7:J8"/>
    <mergeCell ref="B123:C123"/>
    <mergeCell ref="E123:F123"/>
    <mergeCell ref="B121:G121"/>
    <mergeCell ref="B109:B117"/>
    <mergeCell ref="C116:G116"/>
    <mergeCell ref="C117:G117"/>
    <mergeCell ref="B118:G118"/>
    <mergeCell ref="B119:G119"/>
    <mergeCell ref="G123:I123"/>
    <mergeCell ref="B73:B81"/>
    <mergeCell ref="C108:G108"/>
    <mergeCell ref="B64:B72"/>
    <mergeCell ref="C98:G98"/>
    <mergeCell ref="C99:G99"/>
    <mergeCell ref="B100:B108"/>
    <mergeCell ref="B82:B90"/>
    <mergeCell ref="C89:G89"/>
    <mergeCell ref="C90:G90"/>
    <mergeCell ref="B91:B99"/>
    <mergeCell ref="C45:G45"/>
    <mergeCell ref="B46:B54"/>
    <mergeCell ref="C53:G53"/>
    <mergeCell ref="B55:B63"/>
    <mergeCell ref="C54:G54"/>
    <mergeCell ref="C62:G62"/>
    <mergeCell ref="C63:G63"/>
    <mergeCell ref="B4:I4"/>
    <mergeCell ref="B126:D126"/>
    <mergeCell ref="B128:I128"/>
    <mergeCell ref="B130:E130"/>
    <mergeCell ref="B124:C124"/>
    <mergeCell ref="D124:G124"/>
    <mergeCell ref="C81:G81"/>
    <mergeCell ref="B120:G120"/>
    <mergeCell ref="C71:G71"/>
    <mergeCell ref="C72:G72"/>
    <mergeCell ref="C80:G80"/>
    <mergeCell ref="B28:B36"/>
    <mergeCell ref="C35:G35"/>
    <mergeCell ref="C36:G36"/>
    <mergeCell ref="B37:B45"/>
    <mergeCell ref="C44:G44"/>
    <mergeCell ref="L126:N126"/>
    <mergeCell ref="G126:K126"/>
    <mergeCell ref="B131:E131"/>
    <mergeCell ref="B132:E132"/>
    <mergeCell ref="B133:I133"/>
    <mergeCell ref="B129:C129"/>
  </mergeCells>
  <conditionalFormatting sqref="K8:N14 K20:N25 K15">
    <cfRule type="expression" dxfId="99" priority="3">
      <formula>$N$7&lt;&gt;"☑"</formula>
    </cfRule>
  </conditionalFormatting>
  <conditionalFormatting sqref="N26">
    <cfRule type="expression" dxfId="98" priority="1">
      <formula>$N$7&lt;&gt;"☑"</formula>
    </cfRule>
  </conditionalFormatting>
  <dataValidations count="3">
    <dataValidation type="decimal" sqref="D1" xr:uid="{00000000-0002-0000-0F00-000000000000}">
      <formula1>0</formula1>
      <formula2>1</formula2>
    </dataValidation>
    <dataValidation type="list" sqref="A1 N21:N26 N7 I130:I132 I7" xr:uid="{00000000-0002-0000-0F00-000001000000}">
      <formula1>"☐,☑"</formula1>
    </dataValidation>
    <dataValidation type="list" allowBlank="1" showInputMessage="1" showErrorMessage="1" sqref="G10:G16 G19:G25 G28:G34 G37:G43 G46:G52 G55:G61 G64:G70 G73:G79 G82:G88 G91:G97 G100:G106 G109:G115" xr:uid="{EEC049FB-21C2-4128-86D7-B9C1F5A602D1}">
      <formula1>"Flood Irrigation, Drip Irrigation, Sprinkler"</formula1>
    </dataValidation>
  </dataValidations>
  <hyperlinks>
    <hyperlink ref="D124" r:id="rId1" location="/evapotranspiration" xr:uid="{4D81FB0B-D6CA-47C4-A749-99365BE65E8E}"/>
  </hyperlinks>
  <pageMargins left="0.7" right="0.7" top="0.75" bottom="0.75" header="0.3" footer="0.3"/>
  <pageSetup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E23"/>
  <sheetViews>
    <sheetView workbookViewId="0">
      <selection activeCell="E10" sqref="E10"/>
    </sheetView>
  </sheetViews>
  <sheetFormatPr defaultRowHeight="13.8"/>
  <cols>
    <col min="1" max="1" width="7.09765625" style="93" customWidth="1"/>
    <col min="2" max="2" width="39" style="93" customWidth="1"/>
    <col min="3" max="4" width="26" style="93" customWidth="1"/>
    <col min="5" max="5" width="18" style="93" customWidth="1"/>
    <col min="6" max="16384" width="8.796875" style="93"/>
  </cols>
  <sheetData>
    <row r="1" spans="1:5" ht="21.15" customHeight="1">
      <c r="A1" s="91" t="s">
        <v>134</v>
      </c>
      <c r="B1" s="92" t="s">
        <v>163</v>
      </c>
      <c r="C1" s="278">
        <f>E10</f>
        <v>0</v>
      </c>
      <c r="D1" s="92" t="s">
        <v>259</v>
      </c>
      <c r="E1" s="92">
        <f>IF('Project Info'!$C$8="New Hotel",1,1)</f>
        <v>1</v>
      </c>
    </row>
    <row r="2" spans="1:5" ht="32.1" customHeight="1">
      <c r="A2" s="94"/>
      <c r="B2" s="95" t="s">
        <v>38</v>
      </c>
      <c r="C2" s="95"/>
      <c r="D2" s="95"/>
      <c r="E2" s="95" t="s">
        <v>37</v>
      </c>
    </row>
    <row r="3" spans="1:5" ht="15" customHeight="1">
      <c r="A3" s="94"/>
      <c r="B3" s="96" t="s">
        <v>5</v>
      </c>
      <c r="C3" s="97"/>
      <c r="D3" s="97"/>
      <c r="E3" s="97" t="str">
        <f>HYPERLINK("#'Checklist'!A1","Go To Checklist")</f>
        <v>Go To Checklist</v>
      </c>
    </row>
    <row r="4" spans="1:5" ht="49.2" customHeight="1">
      <c r="A4" s="94"/>
      <c r="B4" s="533" t="s">
        <v>710</v>
      </c>
      <c r="C4" s="534"/>
      <c r="D4" s="534"/>
      <c r="E4" s="535"/>
    </row>
    <row r="5" spans="1:5" ht="15" customHeight="1">
      <c r="A5" s="94"/>
      <c r="B5" s="732" t="s">
        <v>305</v>
      </c>
      <c r="C5" s="732"/>
      <c r="D5" s="732"/>
      <c r="E5" s="732"/>
    </row>
    <row r="6" spans="1:5" ht="15" customHeight="1">
      <c r="A6" s="94"/>
      <c r="B6" s="165" t="s">
        <v>940</v>
      </c>
      <c r="C6" s="762" t="s">
        <v>622</v>
      </c>
      <c r="D6" s="762"/>
      <c r="E6" s="166" t="s">
        <v>829</v>
      </c>
    </row>
    <row r="7" spans="1:5" ht="15" customHeight="1">
      <c r="A7" s="94"/>
      <c r="B7" s="147" t="s">
        <v>306</v>
      </c>
      <c r="C7" s="701" t="s">
        <v>1450</v>
      </c>
      <c r="D7" s="701"/>
      <c r="E7" s="339">
        <f>('WC MR 2'!I35)/(1000*365)</f>
        <v>0</v>
      </c>
    </row>
    <row r="8" spans="1:5" ht="15" customHeight="1">
      <c r="A8" s="94"/>
      <c r="B8" s="147" t="s">
        <v>1448</v>
      </c>
      <c r="C8" s="701" t="s">
        <v>1450</v>
      </c>
      <c r="D8" s="701"/>
      <c r="E8" s="337">
        <v>0</v>
      </c>
    </row>
    <row r="9" spans="1:5" ht="15" customHeight="1">
      <c r="A9" s="94"/>
      <c r="B9" s="147" t="s">
        <v>1449</v>
      </c>
      <c r="C9" s="701" t="s">
        <v>170</v>
      </c>
      <c r="D9" s="701"/>
      <c r="E9" s="185">
        <f>IFERROR(E8/E7,0)</f>
        <v>0</v>
      </c>
    </row>
    <row r="10" spans="1:5" ht="31.2" customHeight="1">
      <c r="A10" s="94"/>
      <c r="B10" s="151" t="s">
        <v>329</v>
      </c>
      <c r="C10" s="152" t="s">
        <v>1451</v>
      </c>
      <c r="D10" s="153" t="s">
        <v>603</v>
      </c>
      <c r="E10" s="184">
        <f>IF(E9&gt;=100%,1,0)</f>
        <v>0</v>
      </c>
    </row>
    <row r="11" spans="1:5" ht="18.600000000000001" customHeight="1">
      <c r="A11" s="94"/>
      <c r="B11" s="113"/>
      <c r="C11" s="338"/>
      <c r="D11" s="124"/>
      <c r="E11" s="124"/>
    </row>
    <row r="12" spans="1:5" ht="15" customHeight="1">
      <c r="A12" s="94"/>
      <c r="B12" s="539" t="s">
        <v>38</v>
      </c>
      <c r="C12" s="539"/>
      <c r="D12" s="275" t="s">
        <v>189</v>
      </c>
      <c r="E12" s="8">
        <f>C1</f>
        <v>0</v>
      </c>
    </row>
    <row r="13" spans="1:5" ht="15" customHeight="1">
      <c r="A13" s="94"/>
      <c r="B13" s="97"/>
      <c r="C13" s="97"/>
      <c r="D13" s="97"/>
      <c r="E13" s="97"/>
    </row>
    <row r="14" spans="1:5" ht="15" customHeight="1">
      <c r="A14" s="94"/>
      <c r="B14" s="537" t="s">
        <v>1661</v>
      </c>
      <c r="C14" s="537"/>
      <c r="D14" s="537"/>
      <c r="E14" s="537"/>
    </row>
    <row r="15" spans="1:5" ht="15" customHeight="1">
      <c r="A15" s="103"/>
      <c r="B15" s="538" t="s">
        <v>748</v>
      </c>
      <c r="C15" s="538"/>
      <c r="D15" s="538"/>
      <c r="E15" s="101" t="s">
        <v>139</v>
      </c>
    </row>
    <row r="16" spans="1:5" ht="15" customHeight="1">
      <c r="A16" s="103"/>
      <c r="B16" s="538" t="s">
        <v>749</v>
      </c>
      <c r="C16" s="538"/>
      <c r="D16" s="538"/>
      <c r="E16" s="101" t="s">
        <v>139</v>
      </c>
    </row>
    <row r="17" spans="1:5" ht="17.399999999999999">
      <c r="A17" s="103"/>
      <c r="B17" s="538" t="s">
        <v>750</v>
      </c>
      <c r="C17" s="538"/>
      <c r="D17" s="538"/>
      <c r="E17" s="101" t="s">
        <v>139</v>
      </c>
    </row>
    <row r="18" spans="1:5" ht="17.399999999999999">
      <c r="A18" s="103"/>
      <c r="B18" s="538" t="s">
        <v>751</v>
      </c>
      <c r="C18" s="538"/>
      <c r="D18" s="538"/>
      <c r="E18" s="101" t="s">
        <v>139</v>
      </c>
    </row>
    <row r="19" spans="1:5" ht="14.4">
      <c r="A19" s="114"/>
      <c r="B19" s="531" t="s">
        <v>147</v>
      </c>
      <c r="C19" s="531"/>
      <c r="D19" s="531"/>
      <c r="E19" s="531"/>
    </row>
    <row r="20" spans="1:5" ht="14.4">
      <c r="A20" s="103"/>
      <c r="B20" s="97"/>
      <c r="C20" s="97"/>
      <c r="D20" s="97"/>
      <c r="E20" s="97"/>
    </row>
    <row r="21" spans="1:5" ht="14.4">
      <c r="A21" s="103"/>
      <c r="B21" s="97"/>
      <c r="C21" s="97"/>
      <c r="D21" s="97"/>
      <c r="E21" s="97"/>
    </row>
    <row r="22" spans="1:5" ht="14.4">
      <c r="A22" s="103"/>
      <c r="B22" s="97"/>
      <c r="C22" s="97"/>
      <c r="D22" s="97"/>
      <c r="E22" s="97"/>
    </row>
    <row r="23" spans="1:5">
      <c r="B23" s="97"/>
      <c r="C23" s="97"/>
      <c r="D23" s="97"/>
      <c r="E23" s="97"/>
    </row>
  </sheetData>
  <sheetProtection sheet="1" objects="1" scenarios="1"/>
  <mergeCells count="13">
    <mergeCell ref="B19:E19"/>
    <mergeCell ref="B14:E14"/>
    <mergeCell ref="B17:D17"/>
    <mergeCell ref="B18:D18"/>
    <mergeCell ref="B5:E5"/>
    <mergeCell ref="B12:C12"/>
    <mergeCell ref="B4:E4"/>
    <mergeCell ref="B15:D15"/>
    <mergeCell ref="B16:D16"/>
    <mergeCell ref="C6:D6"/>
    <mergeCell ref="C7:D7"/>
    <mergeCell ref="C8:D8"/>
    <mergeCell ref="C9:D9"/>
  </mergeCells>
  <dataValidations count="2">
    <dataValidation type="decimal" sqref="C1" xr:uid="{00000000-0002-0000-1000-000000000000}">
      <formula1>0</formula1>
      <formula2>1</formula2>
    </dataValidation>
    <dataValidation type="list" sqref="A1 E15:E18" xr:uid="{00000000-0002-0000-1000-000001000000}">
      <formula1>"☐,☑"</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E24"/>
  <sheetViews>
    <sheetView workbookViewId="0">
      <selection activeCell="H9" sqref="H9"/>
    </sheetView>
  </sheetViews>
  <sheetFormatPr defaultRowHeight="13.8"/>
  <cols>
    <col min="1" max="1" width="6" style="93" customWidth="1"/>
    <col min="2" max="2" width="39" style="93" customWidth="1"/>
    <col min="3" max="4" width="26" style="93" customWidth="1"/>
    <col min="5" max="5" width="18" style="93" customWidth="1"/>
    <col min="6" max="16384" width="8.796875" style="93"/>
  </cols>
  <sheetData>
    <row r="1" spans="1:5" ht="19.649999999999999" customHeight="1">
      <c r="A1" s="91" t="s">
        <v>134</v>
      </c>
      <c r="B1" s="92" t="s">
        <v>163</v>
      </c>
      <c r="C1" s="278">
        <f>E12</f>
        <v>0</v>
      </c>
      <c r="D1" s="92" t="s">
        <v>259</v>
      </c>
      <c r="E1" s="92">
        <f>IF('Project Info'!$C$8="New Hotel",3,3)</f>
        <v>3</v>
      </c>
    </row>
    <row r="2" spans="1:5" ht="36.450000000000003" customHeight="1">
      <c r="A2" s="94"/>
      <c r="B2" s="610" t="s">
        <v>40</v>
      </c>
      <c r="C2" s="610"/>
      <c r="D2" s="95"/>
      <c r="E2" s="95" t="s">
        <v>39</v>
      </c>
    </row>
    <row r="3" spans="1:5">
      <c r="A3" s="94"/>
      <c r="B3" s="764" t="s">
        <v>261</v>
      </c>
      <c r="C3" s="764"/>
      <c r="D3" s="764">
        <f>C1</f>
        <v>0</v>
      </c>
      <c r="E3" s="764" t="str">
        <f>HYPERLINK("#'Checklist'!A1","Go To Checklist")</f>
        <v>Go To Checklist</v>
      </c>
    </row>
    <row r="4" spans="1:5" ht="15" customHeight="1">
      <c r="A4" s="94"/>
      <c r="B4" s="96" t="s">
        <v>5</v>
      </c>
      <c r="C4" s="97"/>
      <c r="D4" s="97"/>
      <c r="E4" s="97" t="str">
        <f>HYPERLINK("#'Checklist'!A1","Go To Checklist")</f>
        <v>Go To Checklist</v>
      </c>
    </row>
    <row r="5" spans="1:5" ht="50.4" customHeight="1">
      <c r="A5" s="94"/>
      <c r="B5" s="533" t="s">
        <v>710</v>
      </c>
      <c r="C5" s="534"/>
      <c r="D5" s="534"/>
      <c r="E5" s="535"/>
    </row>
    <row r="6" spans="1:5" ht="15" customHeight="1">
      <c r="A6" s="94"/>
      <c r="B6" s="732" t="s">
        <v>308</v>
      </c>
      <c r="C6" s="732"/>
      <c r="D6" s="732"/>
      <c r="E6" s="732"/>
    </row>
    <row r="7" spans="1:5" ht="15" customHeight="1">
      <c r="A7" s="94"/>
      <c r="B7" s="109" t="s">
        <v>940</v>
      </c>
      <c r="C7" s="741" t="s">
        <v>622</v>
      </c>
      <c r="D7" s="741"/>
      <c r="E7" s="110" t="s">
        <v>829</v>
      </c>
    </row>
    <row r="8" spans="1:5" ht="15" customHeight="1">
      <c r="A8" s="94"/>
      <c r="B8" s="147" t="s">
        <v>309</v>
      </c>
      <c r="C8" s="701" t="s">
        <v>278</v>
      </c>
      <c r="D8" s="701"/>
      <c r="E8" s="337">
        <v>0</v>
      </c>
    </row>
    <row r="9" spans="1:5" ht="15" customHeight="1">
      <c r="A9" s="94"/>
      <c r="B9" s="147" t="s">
        <v>310</v>
      </c>
      <c r="C9" s="701" t="s">
        <v>278</v>
      </c>
      <c r="D9" s="701"/>
      <c r="E9" s="337">
        <v>0</v>
      </c>
    </row>
    <row r="10" spans="1:5" ht="15" customHeight="1">
      <c r="A10" s="94"/>
      <c r="B10" s="147" t="s">
        <v>958</v>
      </c>
      <c r="C10" s="701" t="s">
        <v>170</v>
      </c>
      <c r="D10" s="701"/>
      <c r="E10" s="185">
        <f>IFERROR(E9/E8,0)</f>
        <v>0</v>
      </c>
    </row>
    <row r="11" spans="1:5" ht="15" customHeight="1">
      <c r="A11" s="94"/>
      <c r="B11" s="123" t="s">
        <v>311</v>
      </c>
      <c r="C11" s="765" t="s">
        <v>163</v>
      </c>
      <c r="D11" s="765"/>
      <c r="E11" s="340" t="s">
        <v>6</v>
      </c>
    </row>
    <row r="12" spans="1:5" ht="15" customHeight="1">
      <c r="A12" s="94"/>
      <c r="B12" s="143" t="s">
        <v>173</v>
      </c>
      <c r="C12" s="621">
        <v>1</v>
      </c>
      <c r="D12" s="621"/>
      <c r="E12" s="729">
        <f>IF(E10&gt;50%,3,IF(E10&gt;35%,2,IF(E10&gt;20%,1,0)))</f>
        <v>0</v>
      </c>
    </row>
    <row r="13" spans="1:5" ht="15" customHeight="1">
      <c r="A13" s="94"/>
      <c r="B13" s="143" t="s">
        <v>312</v>
      </c>
      <c r="C13" s="621">
        <v>2</v>
      </c>
      <c r="D13" s="621"/>
      <c r="E13" s="729"/>
    </row>
    <row r="14" spans="1:5" ht="15" customHeight="1">
      <c r="A14" s="94"/>
      <c r="B14" s="143" t="s">
        <v>313</v>
      </c>
      <c r="C14" s="621">
        <v>3</v>
      </c>
      <c r="D14" s="621"/>
      <c r="E14" s="729"/>
    </row>
    <row r="15" spans="1:5" ht="15" customHeight="1">
      <c r="A15" s="94"/>
      <c r="B15" s="539" t="s">
        <v>40</v>
      </c>
      <c r="C15" s="539"/>
      <c r="D15" s="275" t="s">
        <v>189</v>
      </c>
      <c r="E15" s="276">
        <f>C1</f>
        <v>0</v>
      </c>
    </row>
    <row r="16" spans="1:5" ht="15" customHeight="1">
      <c r="A16" s="94"/>
      <c r="B16" s="538"/>
      <c r="C16" s="538"/>
      <c r="D16" s="538"/>
      <c r="E16" s="538"/>
    </row>
    <row r="17" spans="1:5" ht="15" customHeight="1">
      <c r="A17" s="94"/>
      <c r="B17" s="537" t="s">
        <v>1661</v>
      </c>
      <c r="C17" s="537"/>
      <c r="D17" s="537"/>
      <c r="E17" s="537"/>
    </row>
    <row r="18" spans="1:5" ht="15" customHeight="1">
      <c r="A18" s="103"/>
      <c r="B18" s="538" t="s">
        <v>752</v>
      </c>
      <c r="C18" s="538"/>
      <c r="D18" s="538"/>
      <c r="E18" s="101" t="s">
        <v>139</v>
      </c>
    </row>
    <row r="19" spans="1:5" ht="15" customHeight="1">
      <c r="A19" s="103"/>
      <c r="B19" s="560" t="s">
        <v>1452</v>
      </c>
      <c r="C19" s="560"/>
      <c r="D19" s="560"/>
      <c r="E19" s="101" t="s">
        <v>139</v>
      </c>
    </row>
    <row r="20" spans="1:5" ht="28.2" customHeight="1">
      <c r="A20" s="103"/>
      <c r="B20" s="538" t="s">
        <v>753</v>
      </c>
      <c r="C20" s="538"/>
      <c r="D20" s="538"/>
      <c r="E20" s="101" t="s">
        <v>139</v>
      </c>
    </row>
    <row r="21" spans="1:5" ht="14.4">
      <c r="A21" s="114"/>
      <c r="B21" s="531" t="s">
        <v>147</v>
      </c>
      <c r="C21" s="531"/>
      <c r="D21" s="531"/>
      <c r="E21" s="531"/>
    </row>
    <row r="22" spans="1:5" ht="14.4">
      <c r="A22" s="114"/>
      <c r="B22" s="97"/>
      <c r="C22" s="97"/>
      <c r="D22" s="97"/>
      <c r="E22" s="97"/>
    </row>
    <row r="23" spans="1:5" ht="14.4">
      <c r="A23" s="114"/>
      <c r="B23" s="97"/>
      <c r="C23" s="97"/>
      <c r="D23" s="97"/>
      <c r="E23" s="97"/>
    </row>
    <row r="24" spans="1:5" ht="14.4">
      <c r="A24" s="114"/>
      <c r="B24" s="97"/>
      <c r="C24" s="97"/>
      <c r="D24" s="97"/>
      <c r="E24" s="97"/>
    </row>
  </sheetData>
  <sheetProtection sheet="1" objects="1" scenarios="1"/>
  <mergeCells count="21">
    <mergeCell ref="C11:D11"/>
    <mergeCell ref="C12:D12"/>
    <mergeCell ref="C13:D13"/>
    <mergeCell ref="C14:D14"/>
    <mergeCell ref="E12:E14"/>
    <mergeCell ref="B5:E5"/>
    <mergeCell ref="B2:C2"/>
    <mergeCell ref="B21:E21"/>
    <mergeCell ref="B17:E17"/>
    <mergeCell ref="B3:C3"/>
    <mergeCell ref="D3:E3"/>
    <mergeCell ref="B6:E6"/>
    <mergeCell ref="B15:C15"/>
    <mergeCell ref="B16:E16"/>
    <mergeCell ref="B18:D18"/>
    <mergeCell ref="B20:D20"/>
    <mergeCell ref="B19:D19"/>
    <mergeCell ref="C7:D7"/>
    <mergeCell ref="C8:D8"/>
    <mergeCell ref="C9:D9"/>
    <mergeCell ref="C10:D10"/>
  </mergeCells>
  <dataValidations count="2">
    <dataValidation type="decimal" sqref="C1" xr:uid="{00000000-0002-0000-1100-000000000000}">
      <formula1>0</formula1>
      <formula2>3</formula2>
    </dataValidation>
    <dataValidation type="list" sqref="A1 E18:E20" xr:uid="{00000000-0002-0000-1100-000001000000}">
      <formula1>"☐,☑"</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E44"/>
  <sheetViews>
    <sheetView workbookViewId="0">
      <selection activeCell="G7" sqref="G7"/>
    </sheetView>
  </sheetViews>
  <sheetFormatPr defaultRowHeight="13.8"/>
  <cols>
    <col min="1" max="1" width="6" style="93" customWidth="1"/>
    <col min="2" max="2" width="39" style="93" customWidth="1"/>
    <col min="3" max="4" width="26" style="93" customWidth="1"/>
    <col min="5" max="5" width="18" style="93" customWidth="1"/>
    <col min="6" max="16384" width="8.796875" style="93"/>
  </cols>
  <sheetData>
    <row r="1" spans="1:5" ht="17.7" customHeight="1">
      <c r="A1" s="91" t="s">
        <v>134</v>
      </c>
      <c r="B1" s="92" t="s">
        <v>163</v>
      </c>
      <c r="C1" s="278">
        <f>SUM(E19+E25)</f>
        <v>2</v>
      </c>
      <c r="D1" s="92" t="s">
        <v>259</v>
      </c>
      <c r="E1" s="92">
        <v>2</v>
      </c>
    </row>
    <row r="2" spans="1:5" ht="34.049999999999997" customHeight="1">
      <c r="A2" s="94"/>
      <c r="B2" s="610" t="s">
        <v>42</v>
      </c>
      <c r="C2" s="610"/>
      <c r="D2" s="95"/>
      <c r="E2" s="95" t="s">
        <v>41</v>
      </c>
    </row>
    <row r="3" spans="1:5" ht="15" customHeight="1">
      <c r="A3" s="94"/>
      <c r="B3" s="96" t="s">
        <v>5</v>
      </c>
      <c r="C3" s="97"/>
      <c r="D3" s="97"/>
      <c r="E3" s="97" t="str">
        <f>HYPERLINK("#'Checklist'!A1","Go To Checklist")</f>
        <v>Go To Checklist</v>
      </c>
    </row>
    <row r="4" spans="1:5" ht="51" customHeight="1">
      <c r="A4" s="94"/>
      <c r="B4" s="533" t="s">
        <v>710</v>
      </c>
      <c r="C4" s="534"/>
      <c r="D4" s="534"/>
      <c r="E4" s="535"/>
    </row>
    <row r="5" spans="1:5" ht="15" customHeight="1">
      <c r="A5" s="94"/>
      <c r="B5" s="732" t="s">
        <v>314</v>
      </c>
      <c r="C5" s="732"/>
      <c r="D5" s="732"/>
      <c r="E5" s="732"/>
    </row>
    <row r="6" spans="1:5" ht="15" customHeight="1">
      <c r="A6" s="94"/>
      <c r="B6" s="109" t="s">
        <v>342</v>
      </c>
      <c r="C6" s="741"/>
      <c r="D6" s="741"/>
      <c r="E6" s="110" t="s">
        <v>137</v>
      </c>
    </row>
    <row r="7" spans="1:5" ht="15" customHeight="1">
      <c r="A7" s="94"/>
      <c r="B7" s="147" t="s">
        <v>889</v>
      </c>
      <c r="C7" s="767"/>
      <c r="D7" s="768"/>
      <c r="E7" s="243" t="s">
        <v>139</v>
      </c>
    </row>
    <row r="8" spans="1:5" ht="15" customHeight="1">
      <c r="A8" s="94"/>
      <c r="B8" s="147" t="s">
        <v>890</v>
      </c>
      <c r="C8" s="769"/>
      <c r="D8" s="770"/>
      <c r="E8" s="243" t="s">
        <v>134</v>
      </c>
    </row>
    <row r="9" spans="1:5" ht="15" customHeight="1">
      <c r="A9" s="94"/>
      <c r="B9" s="147" t="s">
        <v>891</v>
      </c>
      <c r="C9" s="769"/>
      <c r="D9" s="770"/>
      <c r="E9" s="243" t="s">
        <v>139</v>
      </c>
    </row>
    <row r="10" spans="1:5" ht="15" customHeight="1">
      <c r="A10" s="94"/>
      <c r="B10" s="147" t="s">
        <v>892</v>
      </c>
      <c r="C10" s="769"/>
      <c r="D10" s="770"/>
      <c r="E10" s="243" t="s">
        <v>139</v>
      </c>
    </row>
    <row r="11" spans="1:5" ht="15" customHeight="1">
      <c r="A11" s="94"/>
      <c r="B11" s="147" t="s">
        <v>893</v>
      </c>
      <c r="C11" s="769"/>
      <c r="D11" s="770"/>
      <c r="E11" s="243" t="s">
        <v>134</v>
      </c>
    </row>
    <row r="12" spans="1:5" ht="15" customHeight="1">
      <c r="A12" s="94"/>
      <c r="B12" s="147" t="s">
        <v>894</v>
      </c>
      <c r="C12" s="769"/>
      <c r="D12" s="770"/>
      <c r="E12" s="243" t="s">
        <v>134</v>
      </c>
    </row>
    <row r="13" spans="1:5" ht="15" customHeight="1">
      <c r="A13" s="94"/>
      <c r="B13" s="147" t="s">
        <v>895</v>
      </c>
      <c r="C13" s="769"/>
      <c r="D13" s="770"/>
      <c r="E13" s="243" t="s">
        <v>134</v>
      </c>
    </row>
    <row r="14" spans="1:5" ht="15" customHeight="1">
      <c r="A14" s="94"/>
      <c r="B14" s="147" t="s">
        <v>896</v>
      </c>
      <c r="C14" s="769"/>
      <c r="D14" s="770"/>
      <c r="E14" s="243" t="s">
        <v>139</v>
      </c>
    </row>
    <row r="15" spans="1:5" ht="15" customHeight="1">
      <c r="A15" s="94"/>
      <c r="B15" s="147" t="s">
        <v>897</v>
      </c>
      <c r="C15" s="769"/>
      <c r="D15" s="770"/>
      <c r="E15" s="243" t="s">
        <v>139</v>
      </c>
    </row>
    <row r="16" spans="1:5" ht="15" customHeight="1">
      <c r="A16" s="94"/>
      <c r="B16" s="147" t="s">
        <v>898</v>
      </c>
      <c r="C16" s="769"/>
      <c r="D16" s="770"/>
      <c r="E16" s="243" t="s">
        <v>139</v>
      </c>
    </row>
    <row r="17" spans="1:5" ht="15" customHeight="1">
      <c r="A17" s="94"/>
      <c r="B17" s="147" t="s">
        <v>899</v>
      </c>
      <c r="C17" s="769"/>
      <c r="D17" s="770"/>
      <c r="E17" s="243" t="s">
        <v>139</v>
      </c>
    </row>
    <row r="18" spans="1:5" ht="15" customHeight="1">
      <c r="A18" s="94"/>
      <c r="B18" s="206" t="s">
        <v>900</v>
      </c>
      <c r="C18" s="771"/>
      <c r="D18" s="772"/>
      <c r="E18" s="243" t="s">
        <v>139</v>
      </c>
    </row>
    <row r="19" spans="1:5" ht="30.6" customHeight="1">
      <c r="A19" s="94"/>
      <c r="B19" s="145" t="s">
        <v>329</v>
      </c>
      <c r="C19" s="124" t="s">
        <v>1474</v>
      </c>
      <c r="D19" s="146" t="s">
        <v>603</v>
      </c>
      <c r="E19" s="14">
        <f>IFERROR(IF(COUNTIF(E7:E18,"☑")&gt;=3,1,0),0)</f>
        <v>1</v>
      </c>
    </row>
    <row r="20" spans="1:5" ht="15" customHeight="1">
      <c r="A20" s="94"/>
      <c r="B20" s="616" t="s">
        <v>970</v>
      </c>
      <c r="C20" s="616"/>
      <c r="D20" s="616"/>
      <c r="E20" s="616"/>
    </row>
    <row r="21" spans="1:5" ht="15.6">
      <c r="B21" s="732" t="s">
        <v>315</v>
      </c>
      <c r="C21" s="732"/>
      <c r="D21" s="732"/>
      <c r="E21" s="732"/>
    </row>
    <row r="22" spans="1:5">
      <c r="B22" s="109" t="s">
        <v>901</v>
      </c>
      <c r="C22" s="741" t="s">
        <v>969</v>
      </c>
      <c r="D22" s="741"/>
      <c r="E22" s="110" t="s">
        <v>137</v>
      </c>
    </row>
    <row r="23" spans="1:5" ht="19.2" customHeight="1">
      <c r="B23" s="147" t="s">
        <v>316</v>
      </c>
      <c r="C23" s="766">
        <f>COUNTIF(E7:E18,"☑")</f>
        <v>4</v>
      </c>
      <c r="D23" s="766"/>
      <c r="E23" s="243" t="s">
        <v>134</v>
      </c>
    </row>
    <row r="24" spans="1:5" ht="17.399999999999999">
      <c r="B24" s="623" t="s">
        <v>1453</v>
      </c>
      <c r="C24" s="623"/>
      <c r="D24" s="623"/>
      <c r="E24" s="243" t="s">
        <v>134</v>
      </c>
    </row>
    <row r="25" spans="1:5" ht="41.4">
      <c r="B25" s="145" t="s">
        <v>329</v>
      </c>
      <c r="C25" s="124" t="s">
        <v>1475</v>
      </c>
      <c r="D25" s="146" t="s">
        <v>603</v>
      </c>
      <c r="E25" s="14">
        <f>IFERROR(IF(COUNTIF(E23:E24,"☑")=2,1,0),0)</f>
        <v>1</v>
      </c>
    </row>
    <row r="26" spans="1:5">
      <c r="B26" s="136"/>
      <c r="C26" s="124"/>
      <c r="D26" s="124"/>
      <c r="E26" s="124"/>
    </row>
    <row r="27" spans="1:5" ht="16.8" customHeight="1">
      <c r="B27" s="539" t="s">
        <v>42</v>
      </c>
      <c r="C27" s="539"/>
      <c r="D27" s="275" t="s">
        <v>189</v>
      </c>
      <c r="E27" s="8">
        <f>C1</f>
        <v>2</v>
      </c>
    </row>
    <row r="28" spans="1:5" ht="18.600000000000001" customHeight="1">
      <c r="B28" s="538"/>
      <c r="C28" s="538"/>
      <c r="D28" s="538"/>
      <c r="E28" s="538"/>
    </row>
    <row r="29" spans="1:5" ht="17.399999999999999" customHeight="1">
      <c r="B29" s="537" t="s">
        <v>1661</v>
      </c>
      <c r="C29" s="537"/>
      <c r="D29" s="537"/>
      <c r="E29" s="537"/>
    </row>
    <row r="30" spans="1:5" ht="17.399999999999999" customHeight="1">
      <c r="B30" s="92" t="s">
        <v>959</v>
      </c>
      <c r="C30" s="92"/>
      <c r="D30" s="92"/>
      <c r="E30" s="92"/>
    </row>
    <row r="31" spans="1:5" ht="17.399999999999999" customHeight="1">
      <c r="B31" s="538" t="s">
        <v>960</v>
      </c>
      <c r="C31" s="538"/>
      <c r="D31" s="538"/>
      <c r="E31" s="101" t="s">
        <v>139</v>
      </c>
    </row>
    <row r="32" spans="1:5" ht="17.399999999999999" customHeight="1">
      <c r="B32" s="538" t="s">
        <v>961</v>
      </c>
      <c r="C32" s="538"/>
      <c r="D32" s="538"/>
      <c r="E32" s="101" t="s">
        <v>139</v>
      </c>
    </row>
    <row r="33" spans="2:5" ht="17.399999999999999">
      <c r="B33" s="538" t="s">
        <v>962</v>
      </c>
      <c r="C33" s="538"/>
      <c r="D33" s="538"/>
      <c r="E33" s="101" t="s">
        <v>139</v>
      </c>
    </row>
    <row r="34" spans="2:5" ht="17.399999999999999" customHeight="1">
      <c r="B34" s="538" t="s">
        <v>963</v>
      </c>
      <c r="C34" s="538"/>
      <c r="D34" s="538"/>
      <c r="E34" s="101" t="s">
        <v>139</v>
      </c>
    </row>
    <row r="35" spans="2:5" ht="17.399999999999999" customHeight="1">
      <c r="B35" s="92" t="s">
        <v>965</v>
      </c>
      <c r="C35" s="97"/>
      <c r="D35" s="97"/>
      <c r="E35" s="101"/>
    </row>
    <row r="36" spans="2:5" ht="17.399999999999999" customHeight="1">
      <c r="B36" s="538" t="s">
        <v>964</v>
      </c>
      <c r="C36" s="538"/>
      <c r="D36" s="538"/>
      <c r="E36" s="101" t="s">
        <v>139</v>
      </c>
    </row>
    <row r="37" spans="2:5" ht="17.399999999999999" customHeight="1">
      <c r="B37" s="538" t="s">
        <v>966</v>
      </c>
      <c r="C37" s="538"/>
      <c r="D37" s="538"/>
      <c r="E37" s="101" t="s">
        <v>139</v>
      </c>
    </row>
    <row r="38" spans="2:5" ht="17.399999999999999">
      <c r="B38" s="538" t="s">
        <v>967</v>
      </c>
      <c r="C38" s="538"/>
      <c r="D38" s="538"/>
      <c r="E38" s="101" t="s">
        <v>139</v>
      </c>
    </row>
    <row r="39" spans="2:5" ht="17.399999999999999">
      <c r="B39" s="538" t="s">
        <v>968</v>
      </c>
      <c r="C39" s="538"/>
      <c r="D39" s="538"/>
      <c r="E39" s="101" t="s">
        <v>139</v>
      </c>
    </row>
    <row r="40" spans="2:5">
      <c r="B40" s="531" t="s">
        <v>147</v>
      </c>
      <c r="C40" s="531"/>
      <c r="D40" s="531"/>
      <c r="E40" s="531"/>
    </row>
    <row r="41" spans="2:5">
      <c r="B41" s="97"/>
      <c r="C41" s="97"/>
      <c r="D41" s="97"/>
      <c r="E41" s="97"/>
    </row>
    <row r="42" spans="2:5">
      <c r="B42" s="97"/>
      <c r="C42" s="97"/>
      <c r="D42" s="97"/>
      <c r="E42" s="97"/>
    </row>
    <row r="43" spans="2:5">
      <c r="B43" s="97"/>
      <c r="C43" s="97"/>
      <c r="D43" s="97"/>
      <c r="E43" s="97"/>
    </row>
    <row r="44" spans="2:5">
      <c r="B44" s="97"/>
      <c r="C44" s="97"/>
      <c r="D44" s="97"/>
      <c r="E44" s="97"/>
    </row>
  </sheetData>
  <sheetProtection sheet="1" objects="1" scenarios="1"/>
  <mergeCells count="22">
    <mergeCell ref="B2:C2"/>
    <mergeCell ref="B4:E4"/>
    <mergeCell ref="B5:E5"/>
    <mergeCell ref="B20:E20"/>
    <mergeCell ref="B36:D36"/>
    <mergeCell ref="B31:D31"/>
    <mergeCell ref="B32:D32"/>
    <mergeCell ref="B33:D33"/>
    <mergeCell ref="B34:D34"/>
    <mergeCell ref="B24:D24"/>
    <mergeCell ref="C6:D6"/>
    <mergeCell ref="C22:D22"/>
    <mergeCell ref="C23:D23"/>
    <mergeCell ref="C7:D18"/>
    <mergeCell ref="B40:E40"/>
    <mergeCell ref="B29:E29"/>
    <mergeCell ref="B27:C27"/>
    <mergeCell ref="B21:E21"/>
    <mergeCell ref="B28:E28"/>
    <mergeCell ref="B39:D39"/>
    <mergeCell ref="B37:D37"/>
    <mergeCell ref="B38:D38"/>
  </mergeCells>
  <dataValidations count="3">
    <dataValidation type="decimal" sqref="C1" xr:uid="{00000000-0002-0000-1200-000000000000}">
      <formula1>0</formula1>
      <formula2>3</formula2>
    </dataValidation>
    <dataValidation type="list" sqref="A1 E31:E39 E7:E18 E23:E24" xr:uid="{00000000-0002-0000-1200-000001000000}">
      <formula1>"☐,☑"</formula1>
    </dataValidation>
    <dataValidation sqref="C23" xr:uid="{0D22048D-B123-4E52-B673-31A1C9D654BF}"/>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Z44"/>
  <sheetViews>
    <sheetView zoomScale="80" zoomScaleNormal="80" workbookViewId="0">
      <selection activeCell="C8" sqref="C8:D8"/>
    </sheetView>
  </sheetViews>
  <sheetFormatPr defaultRowHeight="13.8"/>
  <cols>
    <col min="1" max="1" width="15.796875" style="93" customWidth="1"/>
    <col min="2" max="2" width="36.8984375" style="93" customWidth="1"/>
    <col min="3" max="3" width="22.296875" style="93" customWidth="1"/>
    <col min="4" max="4" width="21.796875" style="93" customWidth="1"/>
    <col min="5" max="5" width="21.59765625" style="93" customWidth="1"/>
    <col min="6" max="16384" width="8.796875" style="93"/>
  </cols>
  <sheetData>
    <row r="1" spans="1:26" ht="18.75" customHeight="1">
      <c r="A1" s="91" t="s">
        <v>134</v>
      </c>
      <c r="B1" s="92" t="s">
        <v>135</v>
      </c>
      <c r="C1" s="92"/>
      <c r="D1" s="92"/>
      <c r="E1" s="92"/>
    </row>
    <row r="2" spans="1:26" ht="27.75" customHeight="1">
      <c r="A2" s="94"/>
      <c r="B2" s="95" t="s">
        <v>45</v>
      </c>
      <c r="C2" s="95"/>
      <c r="D2" s="95"/>
      <c r="E2" s="95" t="s">
        <v>44</v>
      </c>
      <c r="Z2" s="93">
        <v>36</v>
      </c>
    </row>
    <row r="3" spans="1:26" ht="16.95" customHeight="1">
      <c r="A3" s="341"/>
      <c r="B3" s="635" t="s">
        <v>136</v>
      </c>
      <c r="C3" s="635"/>
      <c r="D3" s="636" t="str">
        <f>IF(COUNTIF(B9:B29,"&lt;&gt;")=0,"PENDING",IF(AND(COUNTIFS(B9:B29,"&lt;&gt;",E9:E29,"☑")=COUNTIF(B9:B29,"&lt;&gt;"),E32="☑"),"COMPLIANT","PENDING"))</f>
        <v>PENDING</v>
      </c>
      <c r="E3" s="636"/>
    </row>
    <row r="4" spans="1:26" ht="15.6">
      <c r="A4" s="94"/>
      <c r="B4" s="96" t="s">
        <v>5</v>
      </c>
      <c r="C4" s="97"/>
      <c r="D4" s="97"/>
      <c r="E4" s="97" t="str">
        <f>HYPERLINK("#'Checklist'!A1","Go To Checklist")</f>
        <v>Go To Checklist</v>
      </c>
    </row>
    <row r="5" spans="1:26" ht="15.6">
      <c r="A5" s="94"/>
      <c r="B5" s="562" t="s">
        <v>1671</v>
      </c>
      <c r="C5" s="562"/>
      <c r="D5" s="562"/>
      <c r="E5" s="98" t="s">
        <v>137</v>
      </c>
    </row>
    <row r="6" spans="1:26" ht="18" customHeight="1">
      <c r="A6" s="94"/>
      <c r="B6" s="581" t="s">
        <v>1467</v>
      </c>
      <c r="C6" s="779"/>
      <c r="D6" s="779"/>
      <c r="E6" s="101"/>
    </row>
    <row r="7" spans="1:26" ht="31.2" customHeight="1">
      <c r="A7" s="94"/>
      <c r="B7" s="774" t="s">
        <v>527</v>
      </c>
      <c r="C7" s="774"/>
      <c r="D7" s="774"/>
      <c r="E7" s="774"/>
    </row>
    <row r="8" spans="1:26" ht="30.45" customHeight="1">
      <c r="A8" s="212"/>
      <c r="B8" s="342" t="s">
        <v>1455</v>
      </c>
      <c r="C8" s="780" t="s">
        <v>1456</v>
      </c>
      <c r="D8" s="780"/>
      <c r="E8" s="343" t="s">
        <v>1454</v>
      </c>
    </row>
    <row r="9" spans="1:26" ht="30" customHeight="1">
      <c r="A9" s="212"/>
      <c r="B9" s="344"/>
      <c r="C9" s="781"/>
      <c r="D9" s="781"/>
      <c r="E9" s="345" t="s">
        <v>139</v>
      </c>
    </row>
    <row r="10" spans="1:26" ht="30" customHeight="1">
      <c r="A10" s="324"/>
      <c r="B10" s="346"/>
      <c r="C10" s="778"/>
      <c r="D10" s="778"/>
      <c r="E10" s="345" t="s">
        <v>139</v>
      </c>
    </row>
    <row r="11" spans="1:26" ht="30" customHeight="1">
      <c r="A11" s="324"/>
      <c r="B11" s="346"/>
      <c r="C11" s="778"/>
      <c r="D11" s="778"/>
      <c r="E11" s="345" t="s">
        <v>139</v>
      </c>
    </row>
    <row r="12" spans="1:26" ht="30" customHeight="1">
      <c r="A12" s="324"/>
      <c r="B12" s="346"/>
      <c r="C12" s="778"/>
      <c r="D12" s="778"/>
      <c r="E12" s="345" t="s">
        <v>139</v>
      </c>
    </row>
    <row r="13" spans="1:26" ht="30" customHeight="1">
      <c r="A13" s="324"/>
      <c r="B13" s="346"/>
      <c r="C13" s="778"/>
      <c r="D13" s="778"/>
      <c r="E13" s="345" t="s">
        <v>139</v>
      </c>
    </row>
    <row r="14" spans="1:26" ht="30" customHeight="1">
      <c r="A14" s="324"/>
      <c r="B14" s="346"/>
      <c r="C14" s="778"/>
      <c r="D14" s="778"/>
      <c r="E14" s="345" t="s">
        <v>139</v>
      </c>
    </row>
    <row r="15" spans="1:26" ht="30" customHeight="1">
      <c r="A15" s="324"/>
      <c r="B15" s="346"/>
      <c r="C15" s="778"/>
      <c r="D15" s="778"/>
      <c r="E15" s="345" t="s">
        <v>139</v>
      </c>
    </row>
    <row r="16" spans="1:26" ht="30" customHeight="1">
      <c r="A16" s="324"/>
      <c r="B16" s="346"/>
      <c r="C16" s="778"/>
      <c r="D16" s="778"/>
      <c r="E16" s="345" t="s">
        <v>139</v>
      </c>
    </row>
    <row r="17" spans="1:5" ht="30" customHeight="1">
      <c r="A17" s="324"/>
      <c r="B17" s="346"/>
      <c r="C17" s="778"/>
      <c r="D17" s="778"/>
      <c r="E17" s="345" t="s">
        <v>139</v>
      </c>
    </row>
    <row r="18" spans="1:5" ht="30" customHeight="1">
      <c r="A18" s="324"/>
      <c r="B18" s="346"/>
      <c r="C18" s="778"/>
      <c r="D18" s="778"/>
      <c r="E18" s="345" t="s">
        <v>139</v>
      </c>
    </row>
    <row r="19" spans="1:5" ht="30" customHeight="1">
      <c r="A19" s="324"/>
      <c r="B19" s="346"/>
      <c r="C19" s="778"/>
      <c r="D19" s="778"/>
      <c r="E19" s="345" t="s">
        <v>139</v>
      </c>
    </row>
    <row r="20" spans="1:5" ht="30" customHeight="1">
      <c r="A20" s="324"/>
      <c r="B20" s="346"/>
      <c r="C20" s="778"/>
      <c r="D20" s="778"/>
      <c r="E20" s="345" t="s">
        <v>139</v>
      </c>
    </row>
    <row r="21" spans="1:5" ht="30" customHeight="1">
      <c r="A21" s="324"/>
      <c r="B21" s="346"/>
      <c r="C21" s="778"/>
      <c r="D21" s="778"/>
      <c r="E21" s="345" t="s">
        <v>139</v>
      </c>
    </row>
    <row r="22" spans="1:5" ht="30" customHeight="1">
      <c r="A22" s="324"/>
      <c r="B22" s="346"/>
      <c r="C22" s="778"/>
      <c r="D22" s="778"/>
      <c r="E22" s="345" t="s">
        <v>139</v>
      </c>
    </row>
    <row r="23" spans="1:5" ht="30" customHeight="1">
      <c r="A23" s="324"/>
      <c r="B23" s="346"/>
      <c r="C23" s="778"/>
      <c r="D23" s="778"/>
      <c r="E23" s="345" t="s">
        <v>139</v>
      </c>
    </row>
    <row r="24" spans="1:5" ht="30" customHeight="1">
      <c r="A24" s="324"/>
      <c r="B24" s="346"/>
      <c r="C24" s="778"/>
      <c r="D24" s="778"/>
      <c r="E24" s="345" t="s">
        <v>139</v>
      </c>
    </row>
    <row r="25" spans="1:5" ht="30" customHeight="1">
      <c r="A25" s="324"/>
      <c r="B25" s="346"/>
      <c r="C25" s="778"/>
      <c r="D25" s="778"/>
      <c r="E25" s="345" t="s">
        <v>139</v>
      </c>
    </row>
    <row r="26" spans="1:5" ht="30" customHeight="1">
      <c r="A26" s="324"/>
      <c r="B26" s="346"/>
      <c r="C26" s="778"/>
      <c r="D26" s="778"/>
      <c r="E26" s="345" t="s">
        <v>139</v>
      </c>
    </row>
    <row r="27" spans="1:5" ht="30" customHeight="1">
      <c r="A27" s="324"/>
      <c r="B27" s="346"/>
      <c r="C27" s="778"/>
      <c r="D27" s="778"/>
      <c r="E27" s="345" t="s">
        <v>139</v>
      </c>
    </row>
    <row r="28" spans="1:5" ht="30" customHeight="1">
      <c r="A28" s="324"/>
      <c r="B28" s="346"/>
      <c r="C28" s="778"/>
      <c r="D28" s="778"/>
      <c r="E28" s="345" t="s">
        <v>139</v>
      </c>
    </row>
    <row r="29" spans="1:5" ht="30" customHeight="1">
      <c r="A29" s="324"/>
      <c r="B29" s="346"/>
      <c r="C29" s="778"/>
      <c r="D29" s="778"/>
      <c r="E29" s="345" t="s">
        <v>139</v>
      </c>
    </row>
    <row r="30" spans="1:5" ht="30" customHeight="1">
      <c r="A30" s="103"/>
      <c r="B30" s="347" t="s">
        <v>1468</v>
      </c>
      <c r="C30" s="348"/>
      <c r="D30" s="348"/>
      <c r="E30" s="349"/>
    </row>
    <row r="31" spans="1:5" ht="30" customHeight="1">
      <c r="A31" s="103"/>
      <c r="B31" s="775" t="s">
        <v>1466</v>
      </c>
      <c r="C31" s="775"/>
      <c r="D31" s="775"/>
      <c r="E31" s="775"/>
    </row>
    <row r="32" spans="1:5" ht="30" customHeight="1">
      <c r="B32" s="350" t="s">
        <v>1457</v>
      </c>
      <c r="C32" s="776"/>
      <c r="D32" s="777"/>
      <c r="E32" s="345" t="s">
        <v>139</v>
      </c>
    </row>
    <row r="33" spans="1:5" ht="30" customHeight="1">
      <c r="A33" s="103"/>
      <c r="B33" s="773" t="s">
        <v>1458</v>
      </c>
      <c r="C33" s="773"/>
      <c r="D33" s="773"/>
      <c r="E33" s="773"/>
    </row>
    <row r="34" spans="1:5" ht="30" customHeight="1">
      <c r="A34" s="103"/>
      <c r="B34" s="97"/>
      <c r="C34" s="97"/>
      <c r="D34" s="97"/>
      <c r="E34" s="97"/>
    </row>
    <row r="35" spans="1:5" ht="30" customHeight="1">
      <c r="A35" s="103"/>
      <c r="B35" s="537" t="s">
        <v>1661</v>
      </c>
      <c r="C35" s="537"/>
      <c r="D35" s="537"/>
      <c r="E35" s="537"/>
    </row>
    <row r="36" spans="1:5" ht="30" customHeight="1">
      <c r="B36" s="538" t="s">
        <v>526</v>
      </c>
      <c r="C36" s="538"/>
      <c r="D36" s="538"/>
      <c r="E36" s="101" t="s">
        <v>139</v>
      </c>
    </row>
    <row r="37" spans="1:5" ht="30" customHeight="1">
      <c r="B37" s="538" t="s">
        <v>528</v>
      </c>
      <c r="C37" s="538"/>
      <c r="D37" s="538"/>
      <c r="E37" s="101" t="s">
        <v>139</v>
      </c>
    </row>
    <row r="38" spans="1:5" ht="30" customHeight="1">
      <c r="B38" s="538" t="s">
        <v>529</v>
      </c>
      <c r="C38" s="538"/>
      <c r="D38" s="538"/>
      <c r="E38" s="101" t="s">
        <v>139</v>
      </c>
    </row>
    <row r="39" spans="1:5" ht="30" customHeight="1">
      <c r="B39" s="560" t="s">
        <v>530</v>
      </c>
      <c r="C39" s="560"/>
      <c r="D39" s="560"/>
      <c r="E39" s="101" t="s">
        <v>139</v>
      </c>
    </row>
    <row r="40" spans="1:5" ht="30" customHeight="1">
      <c r="B40" s="560" t="s">
        <v>531</v>
      </c>
      <c r="C40" s="560"/>
      <c r="D40" s="560"/>
      <c r="E40" s="101" t="s">
        <v>139</v>
      </c>
    </row>
    <row r="41" spans="1:5" ht="30" customHeight="1">
      <c r="B41" s="531" t="s">
        <v>147</v>
      </c>
      <c r="C41" s="531"/>
      <c r="D41" s="531"/>
      <c r="E41" s="531"/>
    </row>
    <row r="42" spans="1:5">
      <c r="B42" s="97"/>
      <c r="C42" s="97"/>
      <c r="D42" s="97"/>
      <c r="E42" s="97"/>
    </row>
    <row r="43" spans="1:5">
      <c r="B43" s="97"/>
      <c r="C43" s="97"/>
      <c r="D43" s="97"/>
      <c r="E43" s="97"/>
    </row>
    <row r="44" spans="1:5">
      <c r="B44" s="97"/>
      <c r="C44" s="97"/>
      <c r="D44" s="97"/>
      <c r="E44" s="97"/>
    </row>
  </sheetData>
  <mergeCells count="37">
    <mergeCell ref="D3:E3"/>
    <mergeCell ref="B3:C3"/>
    <mergeCell ref="B41:E41"/>
    <mergeCell ref="B35:E35"/>
    <mergeCell ref="B36:D36"/>
    <mergeCell ref="B37:D37"/>
    <mergeCell ref="B38:D38"/>
    <mergeCell ref="B39:D39"/>
    <mergeCell ref="B40:D40"/>
    <mergeCell ref="B5:D5"/>
    <mergeCell ref="B6:D6"/>
    <mergeCell ref="C21:D21"/>
    <mergeCell ref="C8:D8"/>
    <mergeCell ref="C9:D9"/>
    <mergeCell ref="C18:D18"/>
    <mergeCell ref="C19:D19"/>
    <mergeCell ref="C20:D20"/>
    <mergeCell ref="C15:D15"/>
    <mergeCell ref="C16:D16"/>
    <mergeCell ref="C17:D17"/>
    <mergeCell ref="C12:D12"/>
    <mergeCell ref="B33:E33"/>
    <mergeCell ref="B7:E7"/>
    <mergeCell ref="B31:E31"/>
    <mergeCell ref="C32:D32"/>
    <mergeCell ref="C22:D22"/>
    <mergeCell ref="C23:D23"/>
    <mergeCell ref="C24:D24"/>
    <mergeCell ref="C25:D25"/>
    <mergeCell ref="C26:D26"/>
    <mergeCell ref="C27:D27"/>
    <mergeCell ref="C28:D28"/>
    <mergeCell ref="C29:D29"/>
    <mergeCell ref="C13:D13"/>
    <mergeCell ref="C14:D14"/>
    <mergeCell ref="C10:D10"/>
    <mergeCell ref="C11:D11"/>
  </mergeCells>
  <conditionalFormatting sqref="A3">
    <cfRule type="expression" dxfId="97" priority="3">
      <formula>A3="COMPLIANT"</formula>
    </cfRule>
    <cfRule type="expression" dxfId="96" priority="4">
      <formula>A3="PENDING"</formula>
    </cfRule>
  </conditionalFormatting>
  <conditionalFormatting sqref="D3">
    <cfRule type="expression" dxfId="95" priority="1">
      <formula>D3="COMPLIANT"</formula>
    </cfRule>
    <cfRule type="expression" dxfId="94" priority="2">
      <formula>D3="PENDING"</formula>
    </cfRule>
  </conditionalFormatting>
  <dataValidations count="1">
    <dataValidation type="list" sqref="A1 E36:E40 E6 E32 E9:E30" xr:uid="{00000000-0002-0000-1300-000000000000}">
      <formula1>"☐,☑"</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72706" r:id="rId3" name="Button 2">
              <controlPr defaultSize="0" print="0" autoFill="0" autoPict="0" macro="[0]!Add_HVAC_Row">
                <anchor moveWithCells="1" sizeWithCells="1">
                  <from>
                    <xdr:col>0</xdr:col>
                    <xdr:colOff>0</xdr:colOff>
                    <xdr:row>27</xdr:row>
                    <xdr:rowOff>373380</xdr:rowOff>
                  </from>
                  <to>
                    <xdr:col>0</xdr:col>
                    <xdr:colOff>1150620</xdr:colOff>
                    <xdr:row>28</xdr:row>
                    <xdr:rowOff>365760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S41"/>
  <sheetViews>
    <sheetView zoomScale="80" zoomScaleNormal="80" workbookViewId="0">
      <selection activeCell="S8" sqref="S8"/>
    </sheetView>
  </sheetViews>
  <sheetFormatPr defaultRowHeight="13.8"/>
  <cols>
    <col min="1" max="1" width="6.3984375" style="93" customWidth="1"/>
    <col min="2" max="3" width="15.796875" style="93" customWidth="1"/>
    <col min="4" max="9" width="9.69921875" style="93" customWidth="1"/>
    <col min="10" max="10" width="8.796875" style="93"/>
    <col min="11" max="11" width="33.69921875" style="93" customWidth="1"/>
    <col min="12" max="12" width="21.5" style="93" customWidth="1"/>
    <col min="13" max="13" width="18.09765625" style="93" customWidth="1"/>
    <col min="14" max="14" width="18.5" style="93" customWidth="1"/>
    <col min="15" max="15" width="8.796875" style="93"/>
    <col min="16" max="16" width="35.5" style="93" customWidth="1"/>
    <col min="17" max="17" width="21.8984375" style="93" customWidth="1"/>
    <col min="18" max="18" width="20.3984375" style="93" customWidth="1"/>
    <col min="19" max="19" width="23.09765625" style="93" customWidth="1"/>
    <col min="20" max="16384" width="8.796875" style="93"/>
  </cols>
  <sheetData>
    <row r="1" spans="1:19" ht="17.399999999999999">
      <c r="A1" s="91" t="s">
        <v>134</v>
      </c>
      <c r="B1" s="797" t="s">
        <v>163</v>
      </c>
      <c r="C1" s="797"/>
      <c r="D1" s="797"/>
      <c r="E1" s="797"/>
      <c r="F1" s="797"/>
      <c r="G1" s="797"/>
      <c r="H1" s="351"/>
      <c r="I1" s="351"/>
      <c r="J1" s="693" t="s">
        <v>998</v>
      </c>
      <c r="K1" s="693"/>
      <c r="L1" s="693"/>
      <c r="M1" s="693"/>
      <c r="N1" s="693"/>
      <c r="O1" s="693"/>
      <c r="P1" s="693"/>
      <c r="Q1" s="693"/>
      <c r="R1" s="693"/>
      <c r="S1" s="693"/>
    </row>
    <row r="2" spans="1:19" ht="44.4" customHeight="1">
      <c r="A2" s="94"/>
      <c r="B2" s="601" t="s">
        <v>47</v>
      </c>
      <c r="C2" s="601"/>
      <c r="D2" s="601"/>
      <c r="E2" s="203"/>
      <c r="F2" s="203"/>
      <c r="G2" s="203"/>
      <c r="H2" s="203"/>
      <c r="I2" s="203"/>
      <c r="J2" s="203"/>
      <c r="K2" s="203"/>
      <c r="L2" s="203"/>
      <c r="M2" s="203"/>
      <c r="N2" s="203"/>
      <c r="O2" s="203"/>
      <c r="P2" s="203"/>
      <c r="Q2" s="203"/>
      <c r="R2" s="203"/>
      <c r="S2" s="203" t="s">
        <v>46</v>
      </c>
    </row>
    <row r="3" spans="1:19">
      <c r="A3" s="94"/>
      <c r="B3" s="635" t="s">
        <v>136</v>
      </c>
      <c r="C3" s="635"/>
      <c r="D3" s="635"/>
      <c r="E3" s="635"/>
      <c r="F3" s="635"/>
      <c r="G3" s="635"/>
      <c r="H3" s="635"/>
      <c r="I3" s="635"/>
      <c r="J3" s="635"/>
      <c r="K3" s="635"/>
      <c r="L3" s="635"/>
      <c r="M3" s="636" t="str">
        <f>IF(OR(G32="",N30="",S13=""),"PENDING",IF(AND(G32=0,N30=0,S13=0),"PENDING",IF(OR(G32&gt;0,N30&gt;0,S13&gt;0),"COMPLIANT","PENDING")))</f>
        <v>COMPLIANT</v>
      </c>
      <c r="N3" s="636"/>
      <c r="O3" s="636"/>
      <c r="P3" s="636"/>
      <c r="Q3" s="636"/>
      <c r="R3" s="636"/>
      <c r="S3" s="636"/>
    </row>
    <row r="4" spans="1:19" ht="15.6">
      <c r="A4" s="94"/>
      <c r="B4" s="96" t="s">
        <v>5</v>
      </c>
      <c r="C4" s="96"/>
      <c r="D4" s="97"/>
      <c r="E4" s="97"/>
      <c r="F4" s="97"/>
      <c r="G4" s="97"/>
      <c r="H4" s="97"/>
      <c r="I4" s="97"/>
      <c r="K4" s="96"/>
      <c r="L4" s="97"/>
      <c r="M4" s="97"/>
      <c r="N4" s="97"/>
      <c r="P4" s="96"/>
      <c r="Q4" s="97"/>
      <c r="R4" s="97"/>
      <c r="S4" s="97" t="str">
        <f>HYPERLINK("#'Checklist'!A1","Go To Checklist")</f>
        <v>Go To Checklist</v>
      </c>
    </row>
    <row r="5" spans="1:19" ht="48.6" customHeight="1">
      <c r="A5" s="94"/>
      <c r="B5" s="652" t="s">
        <v>710</v>
      </c>
      <c r="C5" s="652"/>
      <c r="D5" s="652"/>
      <c r="E5" s="652"/>
      <c r="F5" s="652"/>
      <c r="G5" s="652"/>
      <c r="H5" s="652"/>
      <c r="I5" s="652"/>
      <c r="K5" s="533" t="s">
        <v>710</v>
      </c>
      <c r="L5" s="534"/>
      <c r="M5" s="534"/>
      <c r="N5" s="535"/>
      <c r="P5" s="533" t="s">
        <v>710</v>
      </c>
      <c r="Q5" s="534"/>
      <c r="R5" s="534"/>
      <c r="S5" s="535"/>
    </row>
    <row r="6" spans="1:19" ht="15.6" customHeight="1">
      <c r="A6" s="94"/>
      <c r="B6" s="798" t="s">
        <v>1671</v>
      </c>
      <c r="C6" s="798"/>
      <c r="D6" s="798"/>
      <c r="E6" s="798"/>
      <c r="F6" s="798"/>
      <c r="G6" s="798"/>
      <c r="H6" s="798"/>
      <c r="I6" s="98" t="s">
        <v>137</v>
      </c>
      <c r="K6" s="562" t="s">
        <v>1671</v>
      </c>
      <c r="L6" s="562"/>
      <c r="M6" s="562"/>
      <c r="N6" s="98" t="s">
        <v>137</v>
      </c>
      <c r="P6" s="562" t="s">
        <v>1671</v>
      </c>
      <c r="Q6" s="562"/>
      <c r="R6" s="562"/>
      <c r="S6" s="98" t="s">
        <v>137</v>
      </c>
    </row>
    <row r="7" spans="1:19" ht="15.6" customHeight="1">
      <c r="A7" s="94"/>
      <c r="B7" s="614" t="s">
        <v>1669</v>
      </c>
      <c r="C7" s="614"/>
      <c r="D7" s="614"/>
      <c r="E7" s="614"/>
      <c r="F7" s="614"/>
      <c r="G7" s="614"/>
      <c r="H7" s="614"/>
      <c r="I7" s="614"/>
      <c r="J7" s="614"/>
      <c r="K7" s="614"/>
      <c r="L7" s="614"/>
      <c r="M7" s="614"/>
      <c r="N7" s="614"/>
      <c r="O7" s="614"/>
      <c r="P7" s="614"/>
      <c r="Q7" s="614"/>
      <c r="R7" s="614"/>
      <c r="S7" s="614"/>
    </row>
    <row r="8" spans="1:19" ht="25.05" customHeight="1">
      <c r="A8" s="94"/>
      <c r="B8" s="353" t="s">
        <v>532</v>
      </c>
      <c r="C8" s="353"/>
      <c r="D8" s="354"/>
      <c r="E8" s="354"/>
      <c r="F8" s="354"/>
      <c r="G8" s="355"/>
      <c r="H8" s="356"/>
      <c r="I8" s="356" t="s">
        <v>134</v>
      </c>
      <c r="J8" s="357" t="s">
        <v>508</v>
      </c>
      <c r="K8" s="353" t="s">
        <v>544</v>
      </c>
      <c r="L8" s="358"/>
      <c r="M8" s="358"/>
      <c r="N8" s="356" t="s">
        <v>134</v>
      </c>
      <c r="O8" s="357" t="s">
        <v>508</v>
      </c>
      <c r="P8" s="359" t="s">
        <v>549</v>
      </c>
      <c r="Q8" s="355"/>
      <c r="R8" s="355"/>
      <c r="S8" s="356" t="s">
        <v>134</v>
      </c>
    </row>
    <row r="9" spans="1:19" ht="56.4" customHeight="1">
      <c r="A9" s="94"/>
      <c r="B9" s="795" t="s">
        <v>533</v>
      </c>
      <c r="C9" s="796" t="s">
        <v>1409</v>
      </c>
      <c r="D9" s="795" t="s">
        <v>534</v>
      </c>
      <c r="E9" s="795"/>
      <c r="F9" s="795"/>
      <c r="G9" s="795"/>
      <c r="H9" s="795"/>
      <c r="I9" s="795"/>
      <c r="K9" s="369" t="s">
        <v>1029</v>
      </c>
      <c r="L9" s="795" t="s">
        <v>622</v>
      </c>
      <c r="M9" s="795"/>
      <c r="N9" s="369" t="s">
        <v>631</v>
      </c>
      <c r="P9" s="529" t="s">
        <v>550</v>
      </c>
      <c r="Q9" s="529"/>
      <c r="R9" s="529"/>
      <c r="S9" s="360" t="s">
        <v>139</v>
      </c>
    </row>
    <row r="10" spans="1:19" s="296" customFormat="1" ht="33.6" customHeight="1">
      <c r="B10" s="795"/>
      <c r="C10" s="796"/>
      <c r="D10" s="796" t="s">
        <v>1024</v>
      </c>
      <c r="E10" s="796" t="s">
        <v>1025</v>
      </c>
      <c r="F10" s="796"/>
      <c r="G10" s="796" t="s">
        <v>1026</v>
      </c>
      <c r="H10" s="796" t="s">
        <v>1027</v>
      </c>
      <c r="I10" s="796" t="s">
        <v>1028</v>
      </c>
      <c r="K10" s="386" t="s">
        <v>545</v>
      </c>
      <c r="L10" s="785" t="s">
        <v>319</v>
      </c>
      <c r="M10" s="785"/>
      <c r="N10" s="387">
        <v>0</v>
      </c>
      <c r="P10" s="369" t="s">
        <v>696</v>
      </c>
      <c r="Q10" s="795" t="s">
        <v>622</v>
      </c>
      <c r="R10" s="795"/>
      <c r="S10" s="369" t="s">
        <v>631</v>
      </c>
    </row>
    <row r="11" spans="1:19" s="296" customFormat="1" ht="25.05" customHeight="1">
      <c r="B11" s="795"/>
      <c r="C11" s="796"/>
      <c r="D11" s="796"/>
      <c r="E11" s="370" t="s">
        <v>1022</v>
      </c>
      <c r="F11" s="370" t="s">
        <v>1023</v>
      </c>
      <c r="G11" s="796"/>
      <c r="H11" s="796"/>
      <c r="I11" s="796"/>
      <c r="K11" s="388" t="s">
        <v>1459</v>
      </c>
      <c r="L11" s="786" t="s">
        <v>1460</v>
      </c>
      <c r="M11" s="786"/>
      <c r="N11" s="389"/>
      <c r="P11" s="383" t="s">
        <v>698</v>
      </c>
      <c r="Q11" s="785" t="s">
        <v>697</v>
      </c>
      <c r="R11" s="785"/>
      <c r="S11" s="387">
        <v>0</v>
      </c>
    </row>
    <row r="12" spans="1:19" s="296" customFormat="1" ht="25.05" customHeight="1">
      <c r="B12" s="373" t="s">
        <v>1032</v>
      </c>
      <c r="C12" s="373"/>
      <c r="D12" s="377"/>
      <c r="E12" s="377"/>
      <c r="F12" s="377"/>
      <c r="G12" s="378"/>
      <c r="H12" s="378"/>
      <c r="I12" s="378"/>
      <c r="K12" s="799" t="s">
        <v>1462</v>
      </c>
      <c r="L12" s="799"/>
      <c r="M12" s="799"/>
      <c r="N12" s="799"/>
      <c r="O12" s="363"/>
      <c r="P12" s="383" t="s">
        <v>699</v>
      </c>
      <c r="Q12" s="785" t="s">
        <v>697</v>
      </c>
      <c r="R12" s="785"/>
      <c r="S12" s="387">
        <v>0</v>
      </c>
    </row>
    <row r="13" spans="1:19" ht="28.2" customHeight="1">
      <c r="A13" s="94"/>
      <c r="B13" s="373" t="s">
        <v>1033</v>
      </c>
      <c r="C13" s="373"/>
      <c r="D13" s="377"/>
      <c r="E13" s="377"/>
      <c r="F13" s="377"/>
      <c r="G13" s="378"/>
      <c r="H13" s="378"/>
      <c r="I13" s="378"/>
      <c r="K13" s="369" t="s">
        <v>533</v>
      </c>
      <c r="L13" s="390" t="s">
        <v>1409</v>
      </c>
      <c r="M13" s="796" t="s">
        <v>1410</v>
      </c>
      <c r="N13" s="796"/>
      <c r="O13" s="212"/>
      <c r="P13" s="383" t="s">
        <v>700</v>
      </c>
      <c r="Q13" s="785" t="s">
        <v>170</v>
      </c>
      <c r="R13" s="785"/>
      <c r="S13" s="385">
        <f>IFERROR((S11-S12)/S11,0)</f>
        <v>0</v>
      </c>
    </row>
    <row r="14" spans="1:19" ht="25.05" customHeight="1">
      <c r="A14" s="94"/>
      <c r="B14" s="373" t="s">
        <v>1034</v>
      </c>
      <c r="C14" s="373"/>
      <c r="D14" s="377"/>
      <c r="E14" s="377"/>
      <c r="F14" s="377"/>
      <c r="G14" s="378"/>
      <c r="H14" s="378"/>
      <c r="I14" s="378"/>
      <c r="K14" s="373" t="s">
        <v>1032</v>
      </c>
      <c r="L14" s="391"/>
      <c r="M14" s="800"/>
      <c r="N14" s="800"/>
      <c r="O14" s="212"/>
    </row>
    <row r="15" spans="1:19" ht="25.05" customHeight="1">
      <c r="A15" s="94"/>
      <c r="B15" s="373" t="s">
        <v>1035</v>
      </c>
      <c r="C15" s="373"/>
      <c r="D15" s="377"/>
      <c r="E15" s="377"/>
      <c r="F15" s="377"/>
      <c r="G15" s="378"/>
      <c r="H15" s="378"/>
      <c r="I15" s="378"/>
      <c r="K15" s="373" t="s">
        <v>1033</v>
      </c>
      <c r="L15" s="392"/>
      <c r="M15" s="786"/>
      <c r="N15" s="786"/>
      <c r="O15" s="324"/>
      <c r="P15" s="713" t="s">
        <v>146</v>
      </c>
      <c r="Q15" s="713"/>
      <c r="R15" s="713"/>
      <c r="S15" s="713"/>
    </row>
    <row r="16" spans="1:19" ht="25.05" customHeight="1">
      <c r="A16" s="94"/>
      <c r="B16" s="373" t="s">
        <v>1036</v>
      </c>
      <c r="C16" s="373"/>
      <c r="D16" s="377"/>
      <c r="E16" s="377"/>
      <c r="F16" s="377"/>
      <c r="G16" s="378"/>
      <c r="H16" s="378"/>
      <c r="I16" s="378"/>
      <c r="K16" s="373" t="s">
        <v>1034</v>
      </c>
      <c r="L16" s="392"/>
      <c r="M16" s="786"/>
      <c r="N16" s="786"/>
      <c r="O16" s="324"/>
      <c r="P16" s="106" t="s">
        <v>557</v>
      </c>
      <c r="Q16" s="97"/>
      <c r="R16" s="97"/>
      <c r="S16" s="101"/>
    </row>
    <row r="17" spans="1:19" ht="25.05" customHeight="1">
      <c r="A17" s="94"/>
      <c r="B17" s="373" t="s">
        <v>1037</v>
      </c>
      <c r="C17" s="373"/>
      <c r="D17" s="377"/>
      <c r="E17" s="377"/>
      <c r="F17" s="377"/>
      <c r="G17" s="378"/>
      <c r="H17" s="378"/>
      <c r="I17" s="378"/>
      <c r="K17" s="373" t="s">
        <v>1035</v>
      </c>
      <c r="L17" s="392"/>
      <c r="M17" s="786"/>
      <c r="N17" s="786"/>
      <c r="O17" s="103"/>
      <c r="P17" s="538" t="s">
        <v>558</v>
      </c>
      <c r="Q17" s="538"/>
      <c r="R17" s="538"/>
      <c r="S17" s="101" t="s">
        <v>139</v>
      </c>
    </row>
    <row r="18" spans="1:19" ht="25.05" customHeight="1">
      <c r="A18" s="94"/>
      <c r="B18" s="373" t="s">
        <v>1038</v>
      </c>
      <c r="C18" s="373"/>
      <c r="D18" s="377"/>
      <c r="E18" s="377"/>
      <c r="F18" s="377"/>
      <c r="G18" s="378"/>
      <c r="H18" s="378"/>
      <c r="I18" s="378"/>
      <c r="K18" s="373" t="s">
        <v>1036</v>
      </c>
      <c r="L18" s="392"/>
      <c r="M18" s="786"/>
      <c r="N18" s="786"/>
      <c r="O18" s="103"/>
      <c r="P18" s="538" t="s">
        <v>559</v>
      </c>
      <c r="Q18" s="538"/>
      <c r="R18" s="538"/>
      <c r="S18" s="101" t="s">
        <v>139</v>
      </c>
    </row>
    <row r="19" spans="1:19" ht="25.05" customHeight="1">
      <c r="B19" s="373" t="s">
        <v>1039</v>
      </c>
      <c r="C19" s="373"/>
      <c r="D19" s="377"/>
      <c r="E19" s="377"/>
      <c r="F19" s="377"/>
      <c r="G19" s="378"/>
      <c r="H19" s="378"/>
      <c r="I19" s="378"/>
      <c r="K19" s="373" t="s">
        <v>1037</v>
      </c>
      <c r="L19" s="392"/>
      <c r="M19" s="786"/>
      <c r="N19" s="786"/>
      <c r="O19" s="103"/>
      <c r="P19" s="538" t="s">
        <v>560</v>
      </c>
      <c r="Q19" s="538"/>
      <c r="R19" s="538"/>
      <c r="S19" s="101" t="s">
        <v>139</v>
      </c>
    </row>
    <row r="20" spans="1:19" ht="25.05" customHeight="1">
      <c r="B20" s="373" t="s">
        <v>1040</v>
      </c>
      <c r="C20" s="373"/>
      <c r="D20" s="377"/>
      <c r="E20" s="377"/>
      <c r="F20" s="377"/>
      <c r="G20" s="378"/>
      <c r="H20" s="378"/>
      <c r="I20" s="378"/>
      <c r="K20" s="373" t="s">
        <v>1038</v>
      </c>
      <c r="L20" s="392"/>
      <c r="M20" s="786"/>
      <c r="N20" s="786"/>
      <c r="O20" s="103"/>
      <c r="P20" s="670" t="s">
        <v>147</v>
      </c>
      <c r="Q20" s="670"/>
      <c r="R20" s="670"/>
      <c r="S20" s="670"/>
    </row>
    <row r="21" spans="1:19" ht="25.05" customHeight="1">
      <c r="B21" s="373" t="s">
        <v>1041</v>
      </c>
      <c r="C21" s="373"/>
      <c r="D21" s="377"/>
      <c r="E21" s="377"/>
      <c r="F21" s="377"/>
      <c r="G21" s="378"/>
      <c r="H21" s="378"/>
      <c r="I21" s="378"/>
      <c r="K21" s="373" t="s">
        <v>1039</v>
      </c>
      <c r="L21" s="392"/>
      <c r="M21" s="786"/>
      <c r="N21" s="786"/>
      <c r="O21" s="103"/>
    </row>
    <row r="22" spans="1:19" ht="25.05" customHeight="1">
      <c r="A22" s="101"/>
      <c r="B22" s="373" t="s">
        <v>1042</v>
      </c>
      <c r="C22" s="373"/>
      <c r="D22" s="377"/>
      <c r="E22" s="377"/>
      <c r="F22" s="377"/>
      <c r="G22" s="378"/>
      <c r="H22" s="378"/>
      <c r="I22" s="378"/>
      <c r="K22" s="373" t="s">
        <v>1040</v>
      </c>
      <c r="L22" s="392"/>
      <c r="M22" s="786"/>
      <c r="N22" s="786"/>
      <c r="O22" s="103"/>
    </row>
    <row r="23" spans="1:19" ht="25.05" customHeight="1">
      <c r="B23" s="373" t="s">
        <v>1043</v>
      </c>
      <c r="C23" s="373"/>
      <c r="D23" s="377"/>
      <c r="E23" s="377"/>
      <c r="F23" s="377"/>
      <c r="G23" s="378"/>
      <c r="H23" s="378"/>
      <c r="I23" s="378"/>
      <c r="K23" s="373" t="s">
        <v>1041</v>
      </c>
      <c r="L23" s="392"/>
      <c r="M23" s="786"/>
      <c r="N23" s="786"/>
      <c r="O23" s="103"/>
    </row>
    <row r="24" spans="1:19" ht="25.05" customHeight="1">
      <c r="B24" s="373" t="s">
        <v>542</v>
      </c>
      <c r="C24" s="373"/>
      <c r="D24" s="379">
        <f t="shared" ref="D24:I24" si="0">SUM(D12:D23)</f>
        <v>0</v>
      </c>
      <c r="E24" s="379">
        <f t="shared" si="0"/>
        <v>0</v>
      </c>
      <c r="F24" s="379">
        <f t="shared" si="0"/>
        <v>0</v>
      </c>
      <c r="G24" s="379">
        <f t="shared" si="0"/>
        <v>0</v>
      </c>
      <c r="H24" s="379">
        <f t="shared" si="0"/>
        <v>0</v>
      </c>
      <c r="I24" s="379">
        <f t="shared" si="0"/>
        <v>0</v>
      </c>
      <c r="K24" s="373" t="s">
        <v>1042</v>
      </c>
      <c r="L24" s="392"/>
      <c r="M24" s="786"/>
      <c r="N24" s="786"/>
      <c r="O24" s="324"/>
    </row>
    <row r="25" spans="1:19" ht="25.05" customHeight="1">
      <c r="B25" s="786" t="s">
        <v>1020</v>
      </c>
      <c r="C25" s="786"/>
      <c r="D25" s="380">
        <v>1</v>
      </c>
      <c r="E25" s="380">
        <v>1</v>
      </c>
      <c r="F25" s="380">
        <v>1</v>
      </c>
      <c r="G25" s="380">
        <v>10</v>
      </c>
      <c r="H25" s="380">
        <v>13.84</v>
      </c>
      <c r="I25" s="380">
        <v>10.76</v>
      </c>
      <c r="K25" s="373" t="s">
        <v>1043</v>
      </c>
      <c r="L25" s="392"/>
      <c r="M25" s="786"/>
      <c r="N25" s="786"/>
      <c r="O25" s="324"/>
    </row>
    <row r="26" spans="1:19" ht="25.05" customHeight="1">
      <c r="B26" s="786" t="s">
        <v>1021</v>
      </c>
      <c r="C26" s="786"/>
      <c r="D26" s="381">
        <f>D24*D25</f>
        <v>0</v>
      </c>
      <c r="E26" s="381">
        <f t="shared" ref="E26:I26" si="1">E24*E25</f>
        <v>0</v>
      </c>
      <c r="F26" s="381">
        <f t="shared" si="1"/>
        <v>0</v>
      </c>
      <c r="G26" s="381">
        <f t="shared" si="1"/>
        <v>0</v>
      </c>
      <c r="H26" s="381">
        <f t="shared" si="1"/>
        <v>0</v>
      </c>
      <c r="I26" s="381">
        <f t="shared" si="1"/>
        <v>0</v>
      </c>
      <c r="J26" s="296"/>
      <c r="K26" s="371" t="s">
        <v>1461</v>
      </c>
      <c r="L26" s="373" t="s">
        <v>547</v>
      </c>
      <c r="M26" s="787">
        <f>SUM(M14:N25)</f>
        <v>0</v>
      </c>
      <c r="N26" s="787"/>
      <c r="O26" s="324"/>
    </row>
    <row r="27" spans="1:19" ht="25.05" customHeight="1">
      <c r="A27" s="94"/>
      <c r="B27" s="786" t="s">
        <v>345</v>
      </c>
      <c r="C27" s="786"/>
      <c r="D27" s="789">
        <f>SUM(D26:I26)</f>
        <v>0</v>
      </c>
      <c r="E27" s="789"/>
      <c r="F27" s="789"/>
      <c r="G27" s="789"/>
      <c r="H27" s="789"/>
      <c r="I27" s="789"/>
      <c r="K27" s="372" t="s">
        <v>546</v>
      </c>
      <c r="L27" s="785" t="s">
        <v>1463</v>
      </c>
      <c r="M27" s="785"/>
      <c r="N27" s="393">
        <f>IFERROR(N10/M26,0)</f>
        <v>0</v>
      </c>
      <c r="O27" s="324"/>
    </row>
    <row r="28" spans="1:19" ht="25.05" customHeight="1">
      <c r="A28" s="94"/>
      <c r="B28" s="794" t="s">
        <v>543</v>
      </c>
      <c r="C28" s="794"/>
      <c r="D28" s="794"/>
      <c r="E28" s="793" t="e">
        <f>(D26+E26+F26+G26+H26+I26)/'Project Info'!C16</f>
        <v>#DIV/0!</v>
      </c>
      <c r="F28" s="793"/>
      <c r="G28" s="793"/>
      <c r="H28" s="793"/>
      <c r="I28" s="793"/>
      <c r="K28" s="784" t="s">
        <v>548</v>
      </c>
      <c r="L28" s="784"/>
      <c r="M28" s="784"/>
      <c r="N28" s="784"/>
      <c r="O28" s="296"/>
    </row>
    <row r="29" spans="1:19" ht="25.05" customHeight="1">
      <c r="A29" s="94"/>
      <c r="B29" s="382" t="s">
        <v>701</v>
      </c>
      <c r="C29" s="382"/>
      <c r="D29" s="791" t="s">
        <v>622</v>
      </c>
      <c r="E29" s="791"/>
      <c r="F29" s="791"/>
      <c r="G29" s="791" t="s">
        <v>631</v>
      </c>
      <c r="H29" s="791"/>
      <c r="I29" s="791"/>
      <c r="K29" s="371" t="s">
        <v>1031</v>
      </c>
      <c r="L29" s="782" t="s">
        <v>886</v>
      </c>
      <c r="M29" s="782"/>
      <c r="N29" s="394">
        <f>IF('Project Info'!C11="Luxury Hotel",120,IF('Project Info'!C11="Business Hotel",80,""))</f>
        <v>80</v>
      </c>
    </row>
    <row r="30" spans="1:19" ht="25.05" customHeight="1">
      <c r="A30" s="94"/>
      <c r="B30" s="792" t="s">
        <v>702</v>
      </c>
      <c r="C30" s="792"/>
      <c r="D30" s="785" t="s">
        <v>704</v>
      </c>
      <c r="E30" s="785"/>
      <c r="F30" s="785"/>
      <c r="G30" s="788" cm="1">
        <f t="array" ref="G30">IF(OR('Project Info'!C9="",'Project Info'!C10=""),"",IF(VALUE(LEFT(TRIM('Project Info'!C9),1))&lt;=3,_xlfn.SWITCH(TRIM('Project Info'!C10),"Warm Humid",215,"Composite",201,"Hot &amp; Dry",167,"Moderate",107,""),_xlfn.SWITCH(TRIM('Project Info'!C10),"Warm Humid",333,"Composite",290,"Hot &amp; Dry",250,"Moderate",313,"")))</f>
        <v>290</v>
      </c>
      <c r="H30" s="788"/>
      <c r="I30" s="788"/>
      <c r="K30" s="371" t="s">
        <v>548</v>
      </c>
      <c r="L30" s="783" t="s">
        <v>170</v>
      </c>
      <c r="M30" s="783"/>
      <c r="N30" s="395" t="str">
        <f>IF(OR(N27="",N27=0),"0",IFERROR((N29-N10)/N29,0))</f>
        <v>0</v>
      </c>
    </row>
    <row r="31" spans="1:19" ht="25.05" customHeight="1">
      <c r="A31" s="94"/>
      <c r="B31" s="792" t="s">
        <v>703</v>
      </c>
      <c r="C31" s="792"/>
      <c r="D31" s="785" t="s">
        <v>704</v>
      </c>
      <c r="E31" s="785"/>
      <c r="F31" s="785"/>
      <c r="G31" s="788" t="e">
        <f>E28</f>
        <v>#DIV/0!</v>
      </c>
      <c r="H31" s="788"/>
      <c r="I31" s="788"/>
    </row>
    <row r="32" spans="1:19" ht="25.05" customHeight="1">
      <c r="A32" s="94"/>
      <c r="B32" s="792" t="s">
        <v>693</v>
      </c>
      <c r="C32" s="792"/>
      <c r="D32" s="785" t="s">
        <v>170</v>
      </c>
      <c r="E32" s="785"/>
      <c r="F32" s="785"/>
      <c r="G32" s="790">
        <f>IFERROR((G30-G31)/G30,0)</f>
        <v>0</v>
      </c>
      <c r="H32" s="790"/>
      <c r="I32" s="790"/>
    </row>
    <row r="33" spans="1:18" ht="25.05" customHeight="1">
      <c r="A33" s="94"/>
      <c r="B33" s="713" t="s">
        <v>146</v>
      </c>
      <c r="C33" s="713"/>
      <c r="D33" s="713"/>
      <c r="E33" s="713"/>
      <c r="F33" s="713"/>
      <c r="G33" s="713"/>
      <c r="H33" s="304"/>
      <c r="I33" s="304"/>
      <c r="K33" s="713" t="s">
        <v>146</v>
      </c>
      <c r="L33" s="713"/>
      <c r="M33" s="713"/>
      <c r="N33" s="713"/>
    </row>
    <row r="34" spans="1:18" ht="27" customHeight="1">
      <c r="A34" s="94"/>
      <c r="B34" s="567" t="s">
        <v>553</v>
      </c>
      <c r="C34" s="567"/>
      <c r="D34" s="567"/>
      <c r="E34" s="567"/>
      <c r="F34" s="567"/>
      <c r="G34" s="567"/>
      <c r="H34" s="567"/>
      <c r="I34" s="567"/>
      <c r="K34" s="106" t="s">
        <v>554</v>
      </c>
      <c r="L34" s="97"/>
      <c r="M34" s="97"/>
      <c r="N34" s="101"/>
    </row>
    <row r="35" spans="1:18" ht="28.8" customHeight="1">
      <c r="A35" s="103"/>
      <c r="B35" s="560" t="s">
        <v>551</v>
      </c>
      <c r="C35" s="560"/>
      <c r="D35" s="560"/>
      <c r="E35" s="560"/>
      <c r="F35" s="560"/>
      <c r="G35" s="560"/>
      <c r="H35" s="560"/>
      <c r="I35" s="101" t="s">
        <v>139</v>
      </c>
      <c r="J35" s="103"/>
      <c r="K35" s="560" t="s">
        <v>555</v>
      </c>
      <c r="L35" s="560"/>
      <c r="M35" s="560"/>
      <c r="N35" s="101" t="s">
        <v>139</v>
      </c>
    </row>
    <row r="36" spans="1:18" ht="26.4" customHeight="1">
      <c r="A36" s="103"/>
      <c r="B36" s="560" t="s">
        <v>552</v>
      </c>
      <c r="C36" s="560"/>
      <c r="D36" s="560"/>
      <c r="E36" s="560"/>
      <c r="F36" s="560"/>
      <c r="G36" s="560"/>
      <c r="H36" s="560"/>
      <c r="I36" s="101" t="s">
        <v>139</v>
      </c>
      <c r="J36" s="103"/>
      <c r="K36" s="560" t="s">
        <v>556</v>
      </c>
      <c r="L36" s="560"/>
      <c r="M36" s="560"/>
      <c r="N36" s="101" t="s">
        <v>139</v>
      </c>
    </row>
    <row r="37" spans="1:18" ht="30" customHeight="1">
      <c r="A37" s="114"/>
      <c r="B37" s="670" t="s">
        <v>147</v>
      </c>
      <c r="C37" s="670"/>
      <c r="D37" s="670"/>
      <c r="E37" s="670"/>
      <c r="F37" s="670"/>
      <c r="G37" s="670"/>
      <c r="H37" s="670"/>
      <c r="I37" s="670"/>
      <c r="J37" s="103"/>
      <c r="K37" s="560" t="s">
        <v>552</v>
      </c>
      <c r="L37" s="560"/>
      <c r="M37" s="560"/>
      <c r="N37" s="101" t="s">
        <v>139</v>
      </c>
    </row>
    <row r="38" spans="1:18" ht="30" customHeight="1">
      <c r="A38" s="209"/>
      <c r="B38" s="97"/>
      <c r="C38" s="97"/>
      <c r="D38" s="97"/>
      <c r="E38" s="97"/>
      <c r="F38" s="97"/>
      <c r="G38" s="97"/>
      <c r="H38" s="97"/>
      <c r="I38" s="101"/>
      <c r="K38" s="670" t="s">
        <v>147</v>
      </c>
      <c r="L38" s="670"/>
      <c r="M38" s="670"/>
      <c r="N38" s="670"/>
      <c r="O38" s="321"/>
      <c r="P38" s="321"/>
      <c r="Q38" s="321"/>
      <c r="R38" s="321"/>
    </row>
    <row r="39" spans="1:18" ht="27.6" customHeight="1">
      <c r="A39" s="103"/>
      <c r="B39" s="97"/>
      <c r="C39" s="97"/>
      <c r="D39" s="97"/>
      <c r="E39" s="97"/>
      <c r="F39" s="97"/>
      <c r="G39" s="97"/>
      <c r="H39" s="97"/>
      <c r="I39" s="101"/>
      <c r="J39" s="103"/>
      <c r="K39" s="97"/>
      <c r="L39" s="97"/>
      <c r="M39" s="97"/>
      <c r="N39" s="101"/>
    </row>
    <row r="40" spans="1:18" ht="26.4" customHeight="1">
      <c r="A40" s="103"/>
      <c r="J40" s="103"/>
    </row>
    <row r="41" spans="1:18" ht="14.4">
      <c r="J41" s="103"/>
    </row>
  </sheetData>
  <sheetProtection sheet="1" objects="1" scenarios="1"/>
  <mergeCells count="79">
    <mergeCell ref="P6:R6"/>
    <mergeCell ref="B6:H6"/>
    <mergeCell ref="B7:S7"/>
    <mergeCell ref="P17:R17"/>
    <mergeCell ref="P18:R18"/>
    <mergeCell ref="L11:M11"/>
    <mergeCell ref="K6:M6"/>
    <mergeCell ref="K12:N12"/>
    <mergeCell ref="M13:N13"/>
    <mergeCell ref="M14:N14"/>
    <mergeCell ref="M15:N15"/>
    <mergeCell ref="M16:N16"/>
    <mergeCell ref="M17:N17"/>
    <mergeCell ref="M18:N18"/>
    <mergeCell ref="P19:R19"/>
    <mergeCell ref="J1:S1"/>
    <mergeCell ref="B3:L3"/>
    <mergeCell ref="M3:S3"/>
    <mergeCell ref="P15:S15"/>
    <mergeCell ref="K5:N5"/>
    <mergeCell ref="P5:S5"/>
    <mergeCell ref="P9:R9"/>
    <mergeCell ref="Q10:R10"/>
    <mergeCell ref="Q11:R11"/>
    <mergeCell ref="Q12:R12"/>
    <mergeCell ref="Q13:R13"/>
    <mergeCell ref="L9:M9"/>
    <mergeCell ref="B1:G1"/>
    <mergeCell ref="L10:M10"/>
    <mergeCell ref="B2:D2"/>
    <mergeCell ref="B5:I5"/>
    <mergeCell ref="D9:I9"/>
    <mergeCell ref="E10:F10"/>
    <mergeCell ref="D10:D11"/>
    <mergeCell ref="G10:G11"/>
    <mergeCell ref="H10:H11"/>
    <mergeCell ref="I10:I11"/>
    <mergeCell ref="C9:C11"/>
    <mergeCell ref="B9:B11"/>
    <mergeCell ref="M19:N19"/>
    <mergeCell ref="M20:N20"/>
    <mergeCell ref="M21:N21"/>
    <mergeCell ref="M22:N22"/>
    <mergeCell ref="B35:H35"/>
    <mergeCell ref="E28:I28"/>
    <mergeCell ref="B28:D28"/>
    <mergeCell ref="B25:C25"/>
    <mergeCell ref="B26:C26"/>
    <mergeCell ref="B36:H36"/>
    <mergeCell ref="B33:G33"/>
    <mergeCell ref="G30:I30"/>
    <mergeCell ref="B27:C27"/>
    <mergeCell ref="D27:I27"/>
    <mergeCell ref="G32:I32"/>
    <mergeCell ref="G29:I29"/>
    <mergeCell ref="B32:C32"/>
    <mergeCell ref="D31:F31"/>
    <mergeCell ref="D32:F32"/>
    <mergeCell ref="B30:C30"/>
    <mergeCell ref="B31:C31"/>
    <mergeCell ref="G31:I31"/>
    <mergeCell ref="D30:F30"/>
    <mergeCell ref="D29:F29"/>
    <mergeCell ref="P20:S20"/>
    <mergeCell ref="B37:I37"/>
    <mergeCell ref="K38:N38"/>
    <mergeCell ref="K35:M35"/>
    <mergeCell ref="K36:M36"/>
    <mergeCell ref="K37:M37"/>
    <mergeCell ref="L29:M29"/>
    <mergeCell ref="L30:M30"/>
    <mergeCell ref="K28:N28"/>
    <mergeCell ref="L27:M27"/>
    <mergeCell ref="B34:I34"/>
    <mergeCell ref="K33:N33"/>
    <mergeCell ref="M24:N24"/>
    <mergeCell ref="M25:N25"/>
    <mergeCell ref="M26:N26"/>
    <mergeCell ref="M23:N23"/>
  </mergeCells>
  <phoneticPr fontId="26" type="noConversion"/>
  <conditionalFormatting sqref="M3">
    <cfRule type="expression" dxfId="93" priority="4">
      <formula>M3="COMPLIANT"</formula>
    </cfRule>
    <cfRule type="expression" dxfId="92" priority="5">
      <formula>M3="PENDING"</formula>
    </cfRule>
  </conditionalFormatting>
  <conditionalFormatting sqref="B9:I32">
    <cfRule type="expression" dxfId="91" priority="3">
      <formula>$I$8&lt;&gt;"☑"</formula>
    </cfRule>
  </conditionalFormatting>
  <conditionalFormatting sqref="K9:N32">
    <cfRule type="expression" dxfId="90" priority="2">
      <formula>$N$8&lt;&gt;"☑"</formula>
    </cfRule>
  </conditionalFormatting>
  <conditionalFormatting sqref="P9:S14">
    <cfRule type="expression" dxfId="89" priority="1">
      <formula>$S$8&lt;&gt;"☑"</formula>
    </cfRule>
  </conditionalFormatting>
  <dataValidations count="2">
    <dataValidation type="list" sqref="A1 S8:S9 I38:I39 N39 H8:I8 N8 I35:I36 N34:N37 S16:S19" xr:uid="{00000000-0002-0000-1400-000000000000}">
      <formula1>"☐,☑"</formula1>
    </dataValidation>
    <dataValidation sqref="A22 G10:I10 G12:I17" xr:uid="{35DB0C19-664A-456A-86CA-A4021F4B085B}"/>
  </dataValidation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F43"/>
  <sheetViews>
    <sheetView zoomScale="70" zoomScaleNormal="70" workbookViewId="0">
      <selection activeCell="J11" sqref="J11"/>
    </sheetView>
  </sheetViews>
  <sheetFormatPr defaultRowHeight="13.8"/>
  <cols>
    <col min="1" max="1" width="6" style="93" customWidth="1"/>
    <col min="2" max="2" width="36" style="93" customWidth="1"/>
    <col min="3" max="3" width="5" style="93" customWidth="1"/>
    <col min="4" max="5" width="26" style="93" customWidth="1"/>
    <col min="6" max="6" width="18" style="93" customWidth="1"/>
    <col min="7" max="16384" width="8.796875" style="93"/>
  </cols>
  <sheetData>
    <row r="1" spans="1:6" ht="17.399999999999999">
      <c r="A1" s="91" t="s">
        <v>134</v>
      </c>
      <c r="B1" s="92" t="s">
        <v>998</v>
      </c>
      <c r="C1" s="92"/>
      <c r="D1" s="92"/>
      <c r="E1" s="92"/>
      <c r="F1" s="92"/>
    </row>
    <row r="2" spans="1:6" ht="45" customHeight="1">
      <c r="A2" s="94"/>
      <c r="B2" s="532" t="s">
        <v>49</v>
      </c>
      <c r="C2" s="532"/>
      <c r="D2" s="532"/>
      <c r="E2" s="95"/>
      <c r="F2" s="95" t="s">
        <v>48</v>
      </c>
    </row>
    <row r="3" spans="1:6">
      <c r="A3" s="94"/>
      <c r="B3" s="635" t="s">
        <v>136</v>
      </c>
      <c r="C3" s="635"/>
      <c r="D3" s="635"/>
      <c r="E3" s="636" t="str">
        <f>IF(AND(COUNTIF(F7:F20,"☑")=ROWS(F7:F19),COUNTIF(F21:F23,"☑")=ROWS(F21:F22),COUNTIF(F24:F28,"☑")=ROWS(F24:F28)),"COMPLIANT","PENDING")</f>
        <v>PENDING</v>
      </c>
      <c r="F3" s="636"/>
    </row>
    <row r="4" spans="1:6" ht="15.6">
      <c r="A4" s="94"/>
      <c r="B4" s="96" t="s">
        <v>5</v>
      </c>
      <c r="C4" s="96"/>
      <c r="D4" s="97"/>
      <c r="E4" s="97"/>
      <c r="F4" s="97" t="str">
        <f>HYPERLINK("#'Checklist'!A1","Go To Checklist")</f>
        <v>Go To Checklist</v>
      </c>
    </row>
    <row r="5" spans="1:6" ht="51" customHeight="1">
      <c r="A5" s="94"/>
      <c r="B5" s="533" t="s">
        <v>710</v>
      </c>
      <c r="C5" s="699"/>
      <c r="D5" s="699"/>
      <c r="E5" s="699"/>
      <c r="F5" s="700"/>
    </row>
    <row r="6" spans="1:6" ht="22.2" customHeight="1">
      <c r="A6" s="94"/>
      <c r="B6" s="528" t="s">
        <v>1672</v>
      </c>
      <c r="C6" s="528"/>
      <c r="D6" s="528"/>
      <c r="E6" s="528"/>
      <c r="F6" s="98" t="s">
        <v>137</v>
      </c>
    </row>
    <row r="7" spans="1:6" ht="31.2" customHeight="1">
      <c r="A7" s="94"/>
      <c r="B7" s="804" t="s">
        <v>971</v>
      </c>
      <c r="C7" s="805"/>
      <c r="D7" s="805"/>
      <c r="E7" s="805"/>
      <c r="F7" s="806"/>
    </row>
    <row r="8" spans="1:6" ht="49.2" customHeight="1">
      <c r="A8" s="94"/>
      <c r="B8" s="792" t="s">
        <v>561</v>
      </c>
      <c r="C8" s="801" t="s">
        <v>134</v>
      </c>
      <c r="D8" s="792" t="s">
        <v>1674</v>
      </c>
      <c r="E8" s="792"/>
      <c r="F8" s="366" t="s">
        <v>139</v>
      </c>
    </row>
    <row r="9" spans="1:6" ht="30" customHeight="1">
      <c r="A9" s="94"/>
      <c r="B9" s="792"/>
      <c r="C9" s="801"/>
      <c r="D9" s="792" t="s">
        <v>562</v>
      </c>
      <c r="E9" s="792"/>
      <c r="F9" s="366" t="s">
        <v>139</v>
      </c>
    </row>
    <row r="10" spans="1:6" ht="30" customHeight="1">
      <c r="A10" s="94"/>
      <c r="B10" s="792"/>
      <c r="C10" s="801"/>
      <c r="D10" s="792" t="s">
        <v>563</v>
      </c>
      <c r="E10" s="792"/>
      <c r="F10" s="366" t="s">
        <v>139</v>
      </c>
    </row>
    <row r="11" spans="1:6" ht="30" customHeight="1">
      <c r="A11" s="94"/>
      <c r="B11" s="792"/>
      <c r="C11" s="801"/>
      <c r="D11" s="792" t="s">
        <v>563</v>
      </c>
      <c r="E11" s="792"/>
      <c r="F11" s="366" t="s">
        <v>139</v>
      </c>
    </row>
    <row r="12" spans="1:6" ht="30" customHeight="1">
      <c r="A12" s="94"/>
      <c r="B12" s="792"/>
      <c r="C12" s="801"/>
      <c r="D12" s="802" t="s">
        <v>1675</v>
      </c>
      <c r="E12" s="803"/>
      <c r="F12" s="366" t="s">
        <v>139</v>
      </c>
    </row>
    <row r="13" spans="1:6" ht="30" customHeight="1">
      <c r="A13" s="94"/>
      <c r="B13" s="792"/>
      <c r="C13" s="801"/>
      <c r="D13" s="802" t="s">
        <v>1676</v>
      </c>
      <c r="E13" s="803"/>
      <c r="F13" s="366" t="s">
        <v>139</v>
      </c>
    </row>
    <row r="14" spans="1:6" ht="30" customHeight="1">
      <c r="A14" s="94"/>
      <c r="B14" s="792"/>
      <c r="C14" s="801"/>
      <c r="D14" s="792" t="s">
        <v>1677</v>
      </c>
      <c r="E14" s="792"/>
      <c r="F14" s="366" t="s">
        <v>139</v>
      </c>
    </row>
    <row r="15" spans="1:6" ht="30" customHeight="1">
      <c r="A15" s="94"/>
      <c r="B15" s="792"/>
      <c r="C15" s="801"/>
      <c r="D15" s="792" t="s">
        <v>564</v>
      </c>
      <c r="E15" s="792"/>
      <c r="F15" s="366" t="s">
        <v>139</v>
      </c>
    </row>
    <row r="16" spans="1:6" ht="30" customHeight="1">
      <c r="A16" s="94"/>
      <c r="B16" s="792"/>
      <c r="C16" s="801"/>
      <c r="D16" s="792" t="s">
        <v>565</v>
      </c>
      <c r="E16" s="792"/>
      <c r="F16" s="366" t="s">
        <v>139</v>
      </c>
    </row>
    <row r="17" spans="1:6" ht="30" customHeight="1">
      <c r="A17" s="94"/>
      <c r="B17" s="792"/>
      <c r="C17" s="801"/>
      <c r="D17" s="792" t="s">
        <v>566</v>
      </c>
      <c r="E17" s="792"/>
      <c r="F17" s="366" t="s">
        <v>139</v>
      </c>
    </row>
    <row r="18" spans="1:6" ht="30" customHeight="1">
      <c r="A18" s="94"/>
      <c r="B18" s="792"/>
      <c r="C18" s="801"/>
      <c r="D18" s="792" t="s">
        <v>567</v>
      </c>
      <c r="E18" s="792"/>
      <c r="F18" s="366" t="s">
        <v>139</v>
      </c>
    </row>
    <row r="19" spans="1:6" ht="30" customHeight="1">
      <c r="A19" s="94"/>
      <c r="B19" s="792"/>
      <c r="C19" s="801"/>
      <c r="D19" s="792" t="s">
        <v>568</v>
      </c>
      <c r="E19" s="792"/>
      <c r="F19" s="366" t="s">
        <v>139</v>
      </c>
    </row>
    <row r="20" spans="1:6" ht="30" customHeight="1">
      <c r="A20" s="94"/>
      <c r="B20" s="792"/>
      <c r="C20" s="801"/>
      <c r="D20" s="792" t="s">
        <v>569</v>
      </c>
      <c r="E20" s="792"/>
      <c r="F20" s="366" t="s">
        <v>139</v>
      </c>
    </row>
    <row r="21" spans="1:6" ht="30" customHeight="1">
      <c r="A21" s="94"/>
      <c r="B21" s="792" t="s">
        <v>570</v>
      </c>
      <c r="C21" s="792"/>
      <c r="D21" s="792"/>
      <c r="E21" s="792"/>
      <c r="F21" s="366" t="s">
        <v>139</v>
      </c>
    </row>
    <row r="22" spans="1:6" ht="30" customHeight="1">
      <c r="A22" s="94"/>
      <c r="B22" s="792" t="s">
        <v>571</v>
      </c>
      <c r="C22" s="792"/>
      <c r="D22" s="792"/>
      <c r="E22" s="792"/>
      <c r="F22" s="366" t="s">
        <v>139</v>
      </c>
    </row>
    <row r="23" spans="1:6" ht="30" customHeight="1">
      <c r="A23" s="94"/>
      <c r="B23" s="792" t="s">
        <v>572</v>
      </c>
      <c r="C23" s="792"/>
      <c r="D23" s="792"/>
      <c r="E23" s="792"/>
      <c r="F23" s="366" t="s">
        <v>139</v>
      </c>
    </row>
    <row r="24" spans="1:6" ht="30" customHeight="1">
      <c r="A24" s="94"/>
      <c r="B24" s="792" t="s">
        <v>573</v>
      </c>
      <c r="C24" s="801" t="s">
        <v>134</v>
      </c>
      <c r="D24" s="792" t="s">
        <v>574</v>
      </c>
      <c r="E24" s="792"/>
      <c r="F24" s="366" t="s">
        <v>139</v>
      </c>
    </row>
    <row r="25" spans="1:6" ht="30" customHeight="1">
      <c r="A25" s="94"/>
      <c r="B25" s="792"/>
      <c r="C25" s="801"/>
      <c r="D25" s="792" t="s">
        <v>575</v>
      </c>
      <c r="E25" s="792"/>
      <c r="F25" s="366" t="s">
        <v>139</v>
      </c>
    </row>
    <row r="26" spans="1:6" ht="30" customHeight="1">
      <c r="A26" s="94"/>
      <c r="B26" s="792"/>
      <c r="C26" s="801"/>
      <c r="D26" s="792" t="s">
        <v>576</v>
      </c>
      <c r="E26" s="792"/>
      <c r="F26" s="366" t="s">
        <v>139</v>
      </c>
    </row>
    <row r="27" spans="1:6" ht="30" customHeight="1">
      <c r="A27" s="94"/>
      <c r="B27" s="792"/>
      <c r="C27" s="801"/>
      <c r="D27" s="792" t="s">
        <v>577</v>
      </c>
      <c r="E27" s="792"/>
      <c r="F27" s="366" t="s">
        <v>139</v>
      </c>
    </row>
    <row r="28" spans="1:6" ht="30" customHeight="1">
      <c r="A28" s="94"/>
      <c r="B28" s="792"/>
      <c r="C28" s="801"/>
      <c r="D28" s="792" t="s">
        <v>578</v>
      </c>
      <c r="E28" s="792"/>
      <c r="F28" s="366" t="s">
        <v>139</v>
      </c>
    </row>
    <row r="29" spans="1:6" ht="13.8" customHeight="1">
      <c r="A29" s="94"/>
      <c r="B29" s="97"/>
      <c r="C29" s="97"/>
      <c r="D29" s="97"/>
      <c r="E29" s="97"/>
    </row>
    <row r="30" spans="1:6" ht="16.2" customHeight="1">
      <c r="A30" s="94"/>
      <c r="B30" s="667" t="s">
        <v>146</v>
      </c>
      <c r="C30" s="667"/>
      <c r="D30" s="667"/>
      <c r="E30" s="667"/>
      <c r="F30" s="667"/>
    </row>
    <row r="31" spans="1:6" ht="30" customHeight="1">
      <c r="A31" s="103"/>
      <c r="B31" s="538" t="s">
        <v>581</v>
      </c>
      <c r="C31" s="538"/>
      <c r="D31" s="538"/>
      <c r="E31" s="538"/>
      <c r="F31" s="101" t="s">
        <v>139</v>
      </c>
    </row>
    <row r="32" spans="1:6" ht="30" customHeight="1">
      <c r="A32" s="103"/>
      <c r="B32" s="538" t="s">
        <v>582</v>
      </c>
      <c r="C32" s="538"/>
      <c r="D32" s="538"/>
      <c r="E32" s="538"/>
      <c r="F32" s="101" t="s">
        <v>139</v>
      </c>
    </row>
    <row r="33" spans="1:6" ht="30" customHeight="1">
      <c r="A33" s="103"/>
      <c r="B33" s="538" t="s">
        <v>583</v>
      </c>
      <c r="C33" s="538"/>
      <c r="D33" s="538"/>
      <c r="E33" s="538"/>
      <c r="F33" s="101" t="s">
        <v>139</v>
      </c>
    </row>
    <row r="34" spans="1:6" ht="30" customHeight="1">
      <c r="A34" s="103"/>
      <c r="B34" s="560" t="s">
        <v>579</v>
      </c>
      <c r="C34" s="560"/>
      <c r="D34" s="560"/>
      <c r="E34" s="560"/>
      <c r="F34" s="101" t="s">
        <v>139</v>
      </c>
    </row>
    <row r="35" spans="1:6" ht="30" customHeight="1">
      <c r="A35" s="103"/>
      <c r="B35" s="538" t="s">
        <v>571</v>
      </c>
      <c r="C35" s="538"/>
      <c r="D35" s="538"/>
      <c r="E35" s="538"/>
      <c r="F35" s="101" t="s">
        <v>139</v>
      </c>
    </row>
    <row r="36" spans="1:6" ht="30" customHeight="1">
      <c r="A36" s="103"/>
      <c r="B36" s="538" t="s">
        <v>584</v>
      </c>
      <c r="C36" s="538"/>
      <c r="D36" s="538"/>
      <c r="E36" s="538"/>
      <c r="F36" s="101" t="s">
        <v>139</v>
      </c>
    </row>
    <row r="37" spans="1:6" ht="30" customHeight="1">
      <c r="A37" s="103"/>
      <c r="B37" s="560" t="s">
        <v>580</v>
      </c>
      <c r="C37" s="560"/>
      <c r="D37" s="560"/>
      <c r="E37" s="560"/>
      <c r="F37" s="105"/>
    </row>
    <row r="38" spans="1:6" ht="30" customHeight="1">
      <c r="A38" s="103"/>
      <c r="B38" s="645" t="s">
        <v>147</v>
      </c>
      <c r="C38" s="645"/>
      <c r="D38" s="645"/>
      <c r="E38" s="645"/>
      <c r="F38" s="645"/>
    </row>
    <row r="39" spans="1:6" ht="30" customHeight="1">
      <c r="A39" s="103"/>
      <c r="B39" s="97"/>
      <c r="C39" s="97"/>
      <c r="D39" s="97"/>
      <c r="E39" s="97"/>
      <c r="F39" s="97"/>
    </row>
    <row r="40" spans="1:6" ht="30" customHeight="1">
      <c r="A40" s="103"/>
      <c r="B40" s="97"/>
      <c r="C40" s="97"/>
      <c r="D40" s="97"/>
      <c r="E40" s="97"/>
      <c r="F40" s="97"/>
    </row>
    <row r="41" spans="1:6" ht="30" customHeight="1">
      <c r="A41" s="103"/>
      <c r="B41" s="97"/>
      <c r="C41" s="97"/>
      <c r="D41" s="97"/>
      <c r="E41" s="97"/>
      <c r="F41" s="97"/>
    </row>
    <row r="42" spans="1:6">
      <c r="A42" s="94"/>
      <c r="B42" s="97"/>
      <c r="C42" s="97"/>
      <c r="D42" s="97"/>
      <c r="E42" s="97"/>
      <c r="F42" s="97"/>
    </row>
    <row r="43" spans="1:6">
      <c r="B43" s="97"/>
      <c r="C43" s="97"/>
      <c r="D43" s="97"/>
      <c r="E43" s="97"/>
    </row>
  </sheetData>
  <mergeCells count="40">
    <mergeCell ref="E3:F3"/>
    <mergeCell ref="B3:D3"/>
    <mergeCell ref="B2:D2"/>
    <mergeCell ref="D16:E16"/>
    <mergeCell ref="D17:E17"/>
    <mergeCell ref="D8:E8"/>
    <mergeCell ref="D9:E9"/>
    <mergeCell ref="D12:E12"/>
    <mergeCell ref="D13:E13"/>
    <mergeCell ref="B7:F7"/>
    <mergeCell ref="D10:E10"/>
    <mergeCell ref="D11:E11"/>
    <mergeCell ref="D18:E18"/>
    <mergeCell ref="B21:E21"/>
    <mergeCell ref="B22:E22"/>
    <mergeCell ref="C24:C28"/>
    <mergeCell ref="D28:E28"/>
    <mergeCell ref="B24:B28"/>
    <mergeCell ref="D24:E24"/>
    <mergeCell ref="D20:E20"/>
    <mergeCell ref="B23:E23"/>
    <mergeCell ref="D27:E27"/>
    <mergeCell ref="D25:E25"/>
    <mergeCell ref="D26:E26"/>
    <mergeCell ref="B30:F30"/>
    <mergeCell ref="B38:F38"/>
    <mergeCell ref="B5:F5"/>
    <mergeCell ref="B37:E37"/>
    <mergeCell ref="D15:E15"/>
    <mergeCell ref="B8:B20"/>
    <mergeCell ref="C8:C20"/>
    <mergeCell ref="D19:E19"/>
    <mergeCell ref="D14:E14"/>
    <mergeCell ref="B32:E32"/>
    <mergeCell ref="B33:E33"/>
    <mergeCell ref="B35:E35"/>
    <mergeCell ref="B36:E36"/>
    <mergeCell ref="B34:E34"/>
    <mergeCell ref="B31:E31"/>
    <mergeCell ref="B6:E6"/>
  </mergeCells>
  <conditionalFormatting sqref="D24:E28">
    <cfRule type="expression" dxfId="88" priority="16">
      <formula>$C$24&lt;&gt;"☑"</formula>
    </cfRule>
  </conditionalFormatting>
  <conditionalFormatting sqref="E3">
    <cfRule type="expression" dxfId="87" priority="11">
      <formula>E3="COMPLIANT"</formula>
    </cfRule>
    <cfRule type="expression" dxfId="86" priority="12">
      <formula>E3="PENDING"</formula>
    </cfRule>
  </conditionalFormatting>
  <conditionalFormatting sqref="E3">
    <cfRule type="cellIs" dxfId="85" priority="8" operator="equal">
      <formula>"Complaint"</formula>
    </cfRule>
    <cfRule type="cellIs" dxfId="84" priority="9" operator="equal">
      <formula>$D$3</formula>
    </cfRule>
    <cfRule type="cellIs" dxfId="83" priority="10" operator="equal">
      <formula>"""Compliant"""</formula>
    </cfRule>
  </conditionalFormatting>
  <conditionalFormatting sqref="D8:E11 D14:E20 D12:D13">
    <cfRule type="expression" dxfId="82" priority="1">
      <formula>$C$8&lt;&gt;"☑"</formula>
    </cfRule>
    <cfRule type="expression" dxfId="81" priority="2">
      <formula>"'=$C$6&lt;&gt;,""☑"""</formula>
    </cfRule>
  </conditionalFormatting>
  <dataValidations count="1">
    <dataValidation type="list" sqref="A1 C8 C24 F31:F36 F8:F28" xr:uid="{00000000-0002-0000-1500-000000000000}">
      <formula1>"☐,☑"</formula1>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E44"/>
  <sheetViews>
    <sheetView tabSelected="1" zoomScale="90" zoomScaleNormal="90" workbookViewId="0">
      <selection activeCell="H7" sqref="H7"/>
    </sheetView>
  </sheetViews>
  <sheetFormatPr defaultRowHeight="13.8"/>
  <cols>
    <col min="1" max="1" width="15.296875" style="93" customWidth="1"/>
    <col min="2" max="2" width="28.296875" style="93" customWidth="1"/>
    <col min="3" max="3" width="32.8984375" style="93" customWidth="1"/>
    <col min="4" max="4" width="26" style="93" customWidth="1"/>
    <col min="5" max="5" width="18" style="93" customWidth="1"/>
    <col min="6" max="16384" width="8.796875" style="93"/>
  </cols>
  <sheetData>
    <row r="1" spans="1:5" ht="17.399999999999999">
      <c r="A1" s="91" t="s">
        <v>134</v>
      </c>
      <c r="B1" s="92" t="s">
        <v>163</v>
      </c>
      <c r="C1" s="9">
        <f>IF(COUNTIF(B7:B27,"&lt;&gt;")=0,0,IF(COUNTIFS(B7:B27,"&lt;&gt;",E7:E27,"Not Compliant")&gt;0,0,IF(COUNTIFS(B7:B27,"&lt;&gt;",E7:E27,"Compliant")=COUNTIF(B7:B27,"&lt;&gt;"),1,0)))</f>
        <v>0</v>
      </c>
      <c r="D1" s="92" t="s">
        <v>317</v>
      </c>
      <c r="E1" s="92">
        <f>IF('Project Info'!$C$8="New Hotel",1,1)</f>
        <v>1</v>
      </c>
    </row>
    <row r="2" spans="1:5" ht="42">
      <c r="A2" s="94"/>
      <c r="B2" s="95" t="s">
        <v>51</v>
      </c>
      <c r="C2" s="95"/>
      <c r="D2" s="95"/>
      <c r="E2" s="95" t="s">
        <v>50</v>
      </c>
    </row>
    <row r="3" spans="1:5" ht="15.6">
      <c r="A3" s="94"/>
      <c r="B3" s="96" t="s">
        <v>5</v>
      </c>
      <c r="C3" s="97"/>
      <c r="D3" s="97"/>
      <c r="E3" s="97" t="str">
        <f>HYPERLINK("#'Checklist'!A1","Go To Checklist")</f>
        <v>Go To Checklist</v>
      </c>
    </row>
    <row r="4" spans="1:5" ht="18" customHeight="1">
      <c r="A4" s="94"/>
      <c r="B4" s="528" t="s">
        <v>1554</v>
      </c>
      <c r="C4" s="528"/>
      <c r="D4" s="528"/>
      <c r="E4" s="98" t="s">
        <v>137</v>
      </c>
    </row>
    <row r="5" spans="1:5" ht="31.8" customHeight="1">
      <c r="A5" s="94"/>
      <c r="B5" s="529" t="s">
        <v>1465</v>
      </c>
      <c r="C5" s="529"/>
      <c r="D5" s="529"/>
      <c r="E5" s="529"/>
    </row>
    <row r="6" spans="1:5" ht="30" customHeight="1">
      <c r="A6" s="94"/>
      <c r="B6" s="369" t="s">
        <v>1455</v>
      </c>
      <c r="C6" s="370" t="s">
        <v>1456</v>
      </c>
      <c r="D6" s="370" t="s">
        <v>1464</v>
      </c>
      <c r="E6" s="370" t="s">
        <v>1115</v>
      </c>
    </row>
    <row r="7" spans="1:5" ht="30" customHeight="1">
      <c r="A7" s="94"/>
      <c r="B7" s="371"/>
      <c r="C7" s="372"/>
      <c r="D7" s="372">
        <v>2000</v>
      </c>
      <c r="E7" s="375" t="str">
        <f>IF(D7="","",IF(AND(D7&gt;0,D7&lt;2100),"Compliant","Not Compliant"))</f>
        <v>Compliant</v>
      </c>
    </row>
    <row r="8" spans="1:5" ht="30" customHeight="1">
      <c r="A8" s="94"/>
      <c r="B8" s="373"/>
      <c r="C8" s="373"/>
      <c r="D8" s="373"/>
      <c r="E8" s="375" t="str">
        <f t="shared" ref="E8:E27" si="0">IF(D8="","",IF(AND(D8&gt;0,D8&lt;2100),"Compliant","Not Compliant"))</f>
        <v/>
      </c>
    </row>
    <row r="9" spans="1:5" ht="30" customHeight="1">
      <c r="A9" s="94"/>
      <c r="B9" s="373"/>
      <c r="C9" s="373"/>
      <c r="D9" s="373"/>
      <c r="E9" s="375" t="str">
        <f t="shared" si="0"/>
        <v/>
      </c>
    </row>
    <row r="10" spans="1:5" ht="30" customHeight="1">
      <c r="A10" s="94"/>
      <c r="B10" s="373"/>
      <c r="C10" s="373"/>
      <c r="D10" s="373"/>
      <c r="E10" s="375" t="str">
        <f t="shared" si="0"/>
        <v/>
      </c>
    </row>
    <row r="11" spans="1:5" ht="30" customHeight="1">
      <c r="A11" s="94"/>
      <c r="B11" s="373"/>
      <c r="C11" s="373"/>
      <c r="D11" s="373"/>
      <c r="E11" s="375" t="str">
        <f t="shared" si="0"/>
        <v/>
      </c>
    </row>
    <row r="12" spans="1:5" ht="30" customHeight="1">
      <c r="A12" s="94"/>
      <c r="B12" s="373"/>
      <c r="C12" s="373"/>
      <c r="D12" s="373"/>
      <c r="E12" s="375" t="str">
        <f t="shared" si="0"/>
        <v/>
      </c>
    </row>
    <row r="13" spans="1:5" ht="30" customHeight="1">
      <c r="A13" s="94"/>
      <c r="B13" s="373"/>
      <c r="C13" s="373"/>
      <c r="D13" s="373"/>
      <c r="E13" s="375" t="str">
        <f t="shared" si="0"/>
        <v/>
      </c>
    </row>
    <row r="14" spans="1:5" ht="30" customHeight="1">
      <c r="A14" s="94"/>
      <c r="B14" s="373"/>
      <c r="C14" s="373"/>
      <c r="D14" s="373"/>
      <c r="E14" s="375" t="str">
        <f t="shared" si="0"/>
        <v/>
      </c>
    </row>
    <row r="15" spans="1:5" ht="30" customHeight="1">
      <c r="A15" s="94"/>
      <c r="B15" s="373"/>
      <c r="C15" s="373"/>
      <c r="D15" s="373"/>
      <c r="E15" s="375" t="str">
        <f t="shared" si="0"/>
        <v/>
      </c>
    </row>
    <row r="16" spans="1:5" ht="30" customHeight="1">
      <c r="A16" s="94"/>
      <c r="B16" s="373"/>
      <c r="C16" s="373"/>
      <c r="D16" s="373"/>
      <c r="E16" s="375" t="str">
        <f t="shared" si="0"/>
        <v/>
      </c>
    </row>
    <row r="17" spans="1:5" ht="30" customHeight="1">
      <c r="A17" s="94"/>
      <c r="B17" s="373"/>
      <c r="C17" s="373"/>
      <c r="D17" s="373"/>
      <c r="E17" s="375" t="str">
        <f t="shared" si="0"/>
        <v/>
      </c>
    </row>
    <row r="18" spans="1:5" ht="30" customHeight="1">
      <c r="A18" s="94"/>
      <c r="B18" s="373"/>
      <c r="C18" s="373"/>
      <c r="D18" s="373"/>
      <c r="E18" s="375" t="str">
        <f t="shared" si="0"/>
        <v/>
      </c>
    </row>
    <row r="19" spans="1:5" ht="30" customHeight="1">
      <c r="A19" s="94"/>
      <c r="B19" s="373"/>
      <c r="C19" s="373"/>
      <c r="D19" s="373"/>
      <c r="E19" s="375" t="str">
        <f t="shared" si="0"/>
        <v/>
      </c>
    </row>
    <row r="20" spans="1:5" ht="30" customHeight="1">
      <c r="A20" s="94"/>
      <c r="B20" s="373"/>
      <c r="C20" s="373"/>
      <c r="D20" s="373"/>
      <c r="E20" s="375" t="str">
        <f t="shared" si="0"/>
        <v/>
      </c>
    </row>
    <row r="21" spans="1:5" ht="30" customHeight="1">
      <c r="A21" s="94"/>
      <c r="B21" s="373"/>
      <c r="C21" s="373"/>
      <c r="D21" s="373"/>
      <c r="E21" s="375" t="str">
        <f t="shared" si="0"/>
        <v/>
      </c>
    </row>
    <row r="22" spans="1:5" ht="30" customHeight="1">
      <c r="A22" s="94"/>
      <c r="B22" s="373"/>
      <c r="C22" s="373"/>
      <c r="D22" s="373"/>
      <c r="E22" s="375" t="str">
        <f t="shared" si="0"/>
        <v/>
      </c>
    </row>
    <row r="23" spans="1:5" ht="30" customHeight="1">
      <c r="A23" s="94"/>
      <c r="B23" s="373"/>
      <c r="C23" s="373"/>
      <c r="D23" s="373"/>
      <c r="E23" s="375" t="str">
        <f t="shared" si="0"/>
        <v/>
      </c>
    </row>
    <row r="24" spans="1:5" ht="30" customHeight="1">
      <c r="B24" s="373"/>
      <c r="C24" s="373"/>
      <c r="D24" s="373"/>
      <c r="E24" s="375" t="str">
        <f t="shared" si="0"/>
        <v/>
      </c>
    </row>
    <row r="25" spans="1:5" ht="30" customHeight="1">
      <c r="B25" s="373"/>
      <c r="C25" s="373"/>
      <c r="D25" s="373"/>
      <c r="E25" s="375" t="str">
        <f t="shared" si="0"/>
        <v/>
      </c>
    </row>
    <row r="26" spans="1:5" ht="30" customHeight="1">
      <c r="B26" s="373"/>
      <c r="C26" s="373"/>
      <c r="D26" s="373"/>
      <c r="E26" s="375" t="str">
        <f t="shared" si="0"/>
        <v/>
      </c>
    </row>
    <row r="27" spans="1:5" ht="30" customHeight="1">
      <c r="B27" s="373"/>
      <c r="C27" s="373"/>
      <c r="D27" s="373"/>
      <c r="E27" s="375" t="str">
        <f t="shared" si="0"/>
        <v/>
      </c>
    </row>
    <row r="28" spans="1:5" ht="30" customHeight="1">
      <c r="A28" s="103"/>
      <c r="B28" s="807" t="s">
        <v>585</v>
      </c>
      <c r="C28" s="808"/>
      <c r="D28" s="808"/>
      <c r="E28" s="101"/>
    </row>
    <row r="29" spans="1:5" ht="14.4">
      <c r="A29" s="103"/>
      <c r="B29" s="583" t="s">
        <v>588</v>
      </c>
      <c r="C29" s="583"/>
      <c r="D29" s="583"/>
      <c r="E29" s="583"/>
    </row>
    <row r="30" spans="1:5" ht="14.4">
      <c r="A30" s="103"/>
      <c r="B30" s="583" t="s">
        <v>586</v>
      </c>
      <c r="C30" s="583"/>
      <c r="D30" s="583"/>
      <c r="E30" s="583"/>
    </row>
    <row r="31" spans="1:5" ht="14.4">
      <c r="B31" s="583" t="s">
        <v>587</v>
      </c>
      <c r="C31" s="583"/>
      <c r="D31" s="583"/>
      <c r="E31" s="583"/>
    </row>
    <row r="32" spans="1:5" ht="14.4">
      <c r="A32" s="114"/>
      <c r="B32" s="539" t="s">
        <v>51</v>
      </c>
      <c r="C32" s="539"/>
      <c r="D32" s="275" t="s">
        <v>189</v>
      </c>
      <c r="E32" s="8">
        <f>C1</f>
        <v>0</v>
      </c>
    </row>
    <row r="33" spans="1:5" ht="14.4">
      <c r="A33" s="114"/>
      <c r="B33" s="97"/>
      <c r="C33" s="97"/>
      <c r="D33" s="97"/>
      <c r="E33" s="97"/>
    </row>
    <row r="34" spans="1:5" ht="14.4">
      <c r="A34" s="114"/>
      <c r="B34" s="537" t="s">
        <v>146</v>
      </c>
      <c r="C34" s="537"/>
      <c r="D34" s="537"/>
      <c r="E34" s="537"/>
    </row>
    <row r="35" spans="1:5" ht="17.399999999999999">
      <c r="A35" s="114"/>
      <c r="B35" s="570" t="s">
        <v>591</v>
      </c>
      <c r="C35" s="570"/>
      <c r="D35" s="570"/>
      <c r="E35" s="101" t="s">
        <v>139</v>
      </c>
    </row>
    <row r="36" spans="1:5" ht="17.399999999999999">
      <c r="A36" s="114"/>
      <c r="B36" s="570" t="s">
        <v>592</v>
      </c>
      <c r="C36" s="570"/>
      <c r="D36" s="570"/>
      <c r="E36" s="101" t="s">
        <v>139</v>
      </c>
    </row>
    <row r="37" spans="1:5" ht="17.399999999999999">
      <c r="A37" s="114"/>
      <c r="B37" s="570" t="s">
        <v>589</v>
      </c>
      <c r="C37" s="570"/>
      <c r="D37" s="570"/>
      <c r="E37" s="101" t="s">
        <v>139</v>
      </c>
    </row>
    <row r="38" spans="1:5" ht="17.399999999999999">
      <c r="A38" s="114"/>
      <c r="B38" s="570" t="s">
        <v>590</v>
      </c>
      <c r="C38" s="570"/>
      <c r="D38" s="570"/>
      <c r="E38" s="101" t="s">
        <v>139</v>
      </c>
    </row>
    <row r="39" spans="1:5" ht="14.4">
      <c r="A39" s="114"/>
      <c r="B39" s="531" t="s">
        <v>147</v>
      </c>
      <c r="C39" s="531"/>
      <c r="D39" s="531"/>
      <c r="E39" s="531"/>
    </row>
    <row r="40" spans="1:5">
      <c r="B40" s="97"/>
      <c r="C40" s="97"/>
      <c r="D40" s="97"/>
      <c r="E40" s="97"/>
    </row>
    <row r="41" spans="1:5">
      <c r="B41" s="97"/>
      <c r="C41" s="97"/>
      <c r="D41" s="97"/>
      <c r="E41" s="97"/>
    </row>
    <row r="42" spans="1:5">
      <c r="B42" s="97"/>
      <c r="C42" s="97"/>
      <c r="D42" s="97"/>
      <c r="E42" s="97"/>
    </row>
    <row r="43" spans="1:5">
      <c r="B43" s="97"/>
      <c r="C43" s="97"/>
      <c r="D43" s="97"/>
      <c r="E43" s="97"/>
    </row>
    <row r="44" spans="1:5">
      <c r="B44" s="97"/>
      <c r="C44" s="97"/>
      <c r="D44" s="97"/>
      <c r="E44" s="97"/>
    </row>
  </sheetData>
  <mergeCells count="13">
    <mergeCell ref="B39:E39"/>
    <mergeCell ref="B36:D36"/>
    <mergeCell ref="B34:E34"/>
    <mergeCell ref="B35:D35"/>
    <mergeCell ref="B4:D4"/>
    <mergeCell ref="B28:D28"/>
    <mergeCell ref="B32:C32"/>
    <mergeCell ref="B37:D37"/>
    <mergeCell ref="B38:D38"/>
    <mergeCell ref="B31:E31"/>
    <mergeCell ref="B5:E5"/>
    <mergeCell ref="B29:E29"/>
    <mergeCell ref="B30:E30"/>
  </mergeCells>
  <dataValidations count="3">
    <dataValidation type="decimal" sqref="C1" xr:uid="{00000000-0002-0000-1600-000000000000}">
      <formula1>0</formula1>
      <formula2>1</formula2>
    </dataValidation>
    <dataValidation type="list" sqref="A1 E35:E38 E28" xr:uid="{00000000-0002-0000-1600-000001000000}">
      <formula1>"☐,☑"</formula1>
    </dataValidation>
    <dataValidation sqref="E7:E27" xr:uid="{8B07D1AF-C432-4DA4-80B3-ED1D68924422}"/>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75777" r:id="rId3" name="Button 1">
              <controlPr defaultSize="0" print="0" autoFill="0" autoPict="0" macro="[0]!Module7.Add_HVAC_Row">
                <anchor moveWithCells="1" sizeWithCells="1">
                  <from>
                    <xdr:col>0</xdr:col>
                    <xdr:colOff>0</xdr:colOff>
                    <xdr:row>25</xdr:row>
                    <xdr:rowOff>365760</xdr:rowOff>
                  </from>
                  <to>
                    <xdr:col>0</xdr:col>
                    <xdr:colOff>1226820</xdr:colOff>
                    <xdr:row>26</xdr:row>
                    <xdr:rowOff>350520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S55"/>
  <sheetViews>
    <sheetView topLeftCell="A4" zoomScale="80" zoomScaleNormal="80" workbookViewId="0">
      <selection activeCell="S7" sqref="S7"/>
    </sheetView>
  </sheetViews>
  <sheetFormatPr defaultRowHeight="13.8"/>
  <cols>
    <col min="1" max="1" width="7" style="93" customWidth="1"/>
    <col min="2" max="3" width="15.8984375" style="93" customWidth="1"/>
    <col min="4" max="9" width="10.19921875" style="93" customWidth="1"/>
    <col min="10" max="10" width="8.796875" style="93"/>
    <col min="11" max="11" width="29.5" style="93" customWidth="1"/>
    <col min="12" max="12" width="27.8984375" style="93" customWidth="1"/>
    <col min="13" max="13" width="26.296875" style="93" customWidth="1"/>
    <col min="14" max="14" width="17" style="93" customWidth="1"/>
    <col min="15" max="15" width="8.796875" style="93"/>
    <col min="16" max="16" width="40.796875" style="93" customWidth="1"/>
    <col min="17" max="17" width="24.09765625" style="93" customWidth="1"/>
    <col min="18" max="18" width="21.8984375" style="93" customWidth="1"/>
    <col min="19" max="19" width="17.19921875" style="93" customWidth="1"/>
    <col min="20" max="16384" width="8.796875" style="93"/>
  </cols>
  <sheetData>
    <row r="1" spans="1:19" ht="17.399999999999999" customHeight="1">
      <c r="A1" s="91" t="s">
        <v>134</v>
      </c>
      <c r="B1" s="707" t="s">
        <v>163</v>
      </c>
      <c r="C1" s="707"/>
      <c r="D1" s="707"/>
      <c r="E1" s="707"/>
      <c r="F1" s="707"/>
      <c r="G1" s="707"/>
      <c r="H1" s="707"/>
      <c r="I1" s="816">
        <f>MAX(F32,M16,R13)</f>
        <v>0</v>
      </c>
      <c r="J1" s="816"/>
      <c r="K1" s="816"/>
      <c r="L1" s="816"/>
      <c r="M1" s="816"/>
      <c r="N1" s="707" t="s">
        <v>317</v>
      </c>
      <c r="O1" s="707"/>
      <c r="P1" s="707"/>
      <c r="Q1" s="707">
        <f>IF('Project Info'!$C$8="New Hotel",8,8)</f>
        <v>8</v>
      </c>
      <c r="R1" s="707"/>
      <c r="S1" s="707"/>
    </row>
    <row r="2" spans="1:19" ht="42" customHeight="1">
      <c r="A2" s="94"/>
      <c r="B2" s="610" t="s">
        <v>53</v>
      </c>
      <c r="C2" s="610"/>
      <c r="D2" s="610"/>
      <c r="E2" s="610"/>
      <c r="F2" s="610"/>
      <c r="G2" s="95"/>
      <c r="H2" s="95"/>
      <c r="I2" s="95"/>
      <c r="J2" s="95"/>
      <c r="K2" s="95"/>
      <c r="L2" s="95"/>
      <c r="M2" s="95"/>
      <c r="N2" s="95"/>
      <c r="O2" s="95"/>
      <c r="P2" s="95"/>
      <c r="Q2" s="95"/>
      <c r="R2" s="95"/>
      <c r="S2" s="95" t="s">
        <v>52</v>
      </c>
    </row>
    <row r="3" spans="1:19" ht="15.6" customHeight="1">
      <c r="A3" s="94"/>
      <c r="B3" s="96" t="s">
        <v>5</v>
      </c>
      <c r="C3" s="96"/>
      <c r="D3" s="97"/>
      <c r="E3" s="97"/>
      <c r="F3" s="97"/>
      <c r="G3" s="97"/>
      <c r="H3" s="97"/>
      <c r="I3" s="97"/>
      <c r="J3" s="96"/>
      <c r="K3" s="96"/>
      <c r="L3" s="96"/>
      <c r="M3" s="96"/>
      <c r="N3" s="97"/>
      <c r="O3" s="97"/>
      <c r="P3" s="97"/>
      <c r="Q3" s="97"/>
      <c r="R3" s="97"/>
      <c r="S3" s="97" t="str">
        <f>HYPERLINK("#'Checklist'!A1","Go To Checklist")</f>
        <v>Go To Checklist</v>
      </c>
    </row>
    <row r="4" spans="1:19" ht="53.4" customHeight="1">
      <c r="A4" s="94"/>
      <c r="B4" s="533" t="s">
        <v>710</v>
      </c>
      <c r="C4" s="699"/>
      <c r="D4" s="699"/>
      <c r="E4" s="699"/>
      <c r="F4" s="699"/>
      <c r="G4" s="699"/>
      <c r="H4" s="699"/>
      <c r="I4" s="700"/>
      <c r="K4" s="533" t="s">
        <v>710</v>
      </c>
      <c r="L4" s="534"/>
      <c r="M4" s="534"/>
      <c r="N4" s="535"/>
      <c r="P4" s="533" t="s">
        <v>710</v>
      </c>
      <c r="Q4" s="534"/>
      <c r="R4" s="534"/>
      <c r="S4" s="535"/>
    </row>
    <row r="5" spans="1:19" ht="15.6">
      <c r="A5" s="94"/>
      <c r="B5" s="798" t="s">
        <v>1671</v>
      </c>
      <c r="C5" s="798"/>
      <c r="D5" s="798"/>
      <c r="E5" s="798"/>
      <c r="F5" s="798"/>
      <c r="G5" s="798"/>
      <c r="H5" s="798"/>
      <c r="I5" s="98" t="s">
        <v>137</v>
      </c>
      <c r="K5" s="562" t="s">
        <v>1671</v>
      </c>
      <c r="L5" s="562"/>
      <c r="M5" s="562"/>
      <c r="N5" s="98" t="s">
        <v>137</v>
      </c>
      <c r="P5" s="562" t="s">
        <v>1671</v>
      </c>
      <c r="Q5" s="562"/>
      <c r="R5" s="562"/>
      <c r="S5" s="98" t="s">
        <v>137</v>
      </c>
    </row>
    <row r="6" spans="1:19" ht="15.6">
      <c r="A6" s="94"/>
      <c r="B6" s="614" t="s">
        <v>1669</v>
      </c>
      <c r="C6" s="614"/>
      <c r="D6" s="614"/>
      <c r="E6" s="614"/>
      <c r="F6" s="614"/>
      <c r="G6" s="614"/>
      <c r="H6" s="614"/>
      <c r="I6" s="614"/>
      <c r="J6" s="614"/>
      <c r="K6" s="614"/>
      <c r="L6" s="614"/>
      <c r="M6" s="614"/>
      <c r="N6" s="614"/>
      <c r="O6" s="614"/>
      <c r="P6" s="614"/>
      <c r="Q6" s="614"/>
      <c r="R6" s="614"/>
      <c r="S6" s="614"/>
    </row>
    <row r="7" spans="1:19" ht="25.05" customHeight="1">
      <c r="A7" s="94"/>
      <c r="B7" s="353" t="s">
        <v>532</v>
      </c>
      <c r="C7" s="396"/>
      <c r="D7" s="273"/>
      <c r="E7" s="273"/>
      <c r="F7" s="273"/>
      <c r="G7" s="273"/>
      <c r="H7" s="273"/>
      <c r="I7" s="397" t="s">
        <v>139</v>
      </c>
      <c r="J7" s="357" t="s">
        <v>508</v>
      </c>
      <c r="K7" s="353" t="s">
        <v>544</v>
      </c>
      <c r="L7" s="398"/>
      <c r="M7" s="398"/>
      <c r="N7" s="397" t="s">
        <v>139</v>
      </c>
      <c r="O7" s="357" t="s">
        <v>508</v>
      </c>
      <c r="P7" s="359" t="s">
        <v>549</v>
      </c>
      <c r="Q7" s="355"/>
      <c r="R7" s="355"/>
      <c r="S7" s="397" t="s">
        <v>139</v>
      </c>
    </row>
    <row r="8" spans="1:19" ht="57.6" customHeight="1">
      <c r="A8" s="94"/>
      <c r="B8" s="795" t="s">
        <v>533</v>
      </c>
      <c r="C8" s="796" t="s">
        <v>1044</v>
      </c>
      <c r="D8" s="795" t="s">
        <v>534</v>
      </c>
      <c r="E8" s="795"/>
      <c r="F8" s="795"/>
      <c r="G8" s="795"/>
      <c r="H8" s="795"/>
      <c r="I8" s="795"/>
      <c r="K8" s="399" t="s">
        <v>1029</v>
      </c>
      <c r="L8" s="795" t="s">
        <v>622</v>
      </c>
      <c r="M8" s="795"/>
      <c r="N8" s="399" t="s">
        <v>631</v>
      </c>
      <c r="P8" s="529" t="s">
        <v>550</v>
      </c>
      <c r="Q8" s="529"/>
      <c r="R8" s="529"/>
      <c r="S8" s="360" t="s">
        <v>139</v>
      </c>
    </row>
    <row r="9" spans="1:19" ht="25.05" customHeight="1">
      <c r="A9" s="94"/>
      <c r="B9" s="795"/>
      <c r="C9" s="796"/>
      <c r="D9" s="796" t="s">
        <v>1024</v>
      </c>
      <c r="E9" s="796" t="s">
        <v>1025</v>
      </c>
      <c r="F9" s="796"/>
      <c r="G9" s="796" t="s">
        <v>1026</v>
      </c>
      <c r="H9" s="796" t="s">
        <v>1027</v>
      </c>
      <c r="I9" s="796" t="s">
        <v>1028</v>
      </c>
      <c r="K9" s="386" t="s">
        <v>545</v>
      </c>
      <c r="L9" s="785" t="s">
        <v>319</v>
      </c>
      <c r="M9" s="785"/>
      <c r="N9" s="384">
        <f>'EE MR 2'!N10</f>
        <v>0</v>
      </c>
      <c r="P9" s="399" t="s">
        <v>696</v>
      </c>
      <c r="Q9" s="795" t="s">
        <v>622</v>
      </c>
      <c r="R9" s="795"/>
      <c r="S9" s="369" t="s">
        <v>631</v>
      </c>
    </row>
    <row r="10" spans="1:19" ht="25.05" customHeight="1">
      <c r="A10" s="94"/>
      <c r="B10" s="795"/>
      <c r="C10" s="796"/>
      <c r="D10" s="796"/>
      <c r="E10" s="370" t="s">
        <v>1022</v>
      </c>
      <c r="F10" s="370" t="s">
        <v>1023</v>
      </c>
      <c r="G10" s="796"/>
      <c r="H10" s="796"/>
      <c r="I10" s="796"/>
      <c r="K10" s="388" t="s">
        <v>1459</v>
      </c>
      <c r="L10" s="786" t="s">
        <v>1460</v>
      </c>
      <c r="M10" s="786"/>
      <c r="N10" s="389">
        <f>'EE MR 2'!N11</f>
        <v>0</v>
      </c>
      <c r="P10" s="386" t="s">
        <v>698</v>
      </c>
      <c r="Q10" s="785" t="s">
        <v>697</v>
      </c>
      <c r="R10" s="785"/>
      <c r="S10" s="387">
        <f>'EE MR 2'!S11</f>
        <v>0</v>
      </c>
    </row>
    <row r="11" spans="1:19" ht="25.05" customHeight="1">
      <c r="A11" s="94"/>
      <c r="B11" s="373" t="s">
        <v>1032</v>
      </c>
      <c r="C11" s="373">
        <f>'EE MR 2'!C12</f>
        <v>0</v>
      </c>
      <c r="D11" s="377">
        <f>'EE MR 2'!D12</f>
        <v>0</v>
      </c>
      <c r="E11" s="377">
        <f>'EE MR 2'!E12</f>
        <v>0</v>
      </c>
      <c r="F11" s="377">
        <f>'EE MR 2'!F12</f>
        <v>0</v>
      </c>
      <c r="G11" s="377">
        <f>'EE MR 2'!G12</f>
        <v>0</v>
      </c>
      <c r="H11" s="377">
        <f>'EE MR 2'!H12</f>
        <v>0</v>
      </c>
      <c r="I11" s="377">
        <f>'EE MR 2'!I12</f>
        <v>0</v>
      </c>
      <c r="K11" s="386" t="s">
        <v>430</v>
      </c>
      <c r="L11" s="785" t="s">
        <v>547</v>
      </c>
      <c r="M11" s="785"/>
      <c r="N11" s="384">
        <f>'EE MR 2'!M26</f>
        <v>0</v>
      </c>
      <c r="P11" s="386" t="s">
        <v>699</v>
      </c>
      <c r="Q11" s="785" t="s">
        <v>697</v>
      </c>
      <c r="R11" s="785"/>
      <c r="S11" s="387">
        <f>'EE MR 2'!S12</f>
        <v>0</v>
      </c>
    </row>
    <row r="12" spans="1:19" ht="25.05" customHeight="1">
      <c r="A12" s="94"/>
      <c r="B12" s="373" t="s">
        <v>1033</v>
      </c>
      <c r="C12" s="373">
        <f>'EE MR 2'!C13</f>
        <v>0</v>
      </c>
      <c r="D12" s="377">
        <f>'EE MR 2'!D13</f>
        <v>0</v>
      </c>
      <c r="E12" s="377">
        <f>'EE MR 2'!E13</f>
        <v>0</v>
      </c>
      <c r="F12" s="377">
        <f>'EE MR 2'!F13</f>
        <v>0</v>
      </c>
      <c r="G12" s="377">
        <f>'EE MR 2'!G13</f>
        <v>0</v>
      </c>
      <c r="H12" s="377">
        <f>'EE MR 2'!H13</f>
        <v>0</v>
      </c>
      <c r="I12" s="377">
        <f>'EE MR 2'!I13</f>
        <v>0</v>
      </c>
      <c r="K12" s="386" t="s">
        <v>546</v>
      </c>
      <c r="L12" s="785" t="s">
        <v>258</v>
      </c>
      <c r="M12" s="785"/>
      <c r="N12" s="402">
        <f>IFERROR(N9/N11,0)</f>
        <v>0</v>
      </c>
      <c r="P12" s="386" t="s">
        <v>700</v>
      </c>
      <c r="Q12" s="785" t="s">
        <v>170</v>
      </c>
      <c r="R12" s="785"/>
      <c r="S12" s="385">
        <f>IFERROR((S10-S11)/S10,0)</f>
        <v>0</v>
      </c>
    </row>
    <row r="13" spans="1:19" ht="25.05" customHeight="1">
      <c r="A13" s="94"/>
      <c r="B13" s="373" t="s">
        <v>1034</v>
      </c>
      <c r="C13" s="373">
        <f>'EE MR 2'!C14</f>
        <v>0</v>
      </c>
      <c r="D13" s="377">
        <f>'EE MR 2'!D14</f>
        <v>0</v>
      </c>
      <c r="E13" s="377">
        <f>'EE MR 2'!E14</f>
        <v>0</v>
      </c>
      <c r="F13" s="377">
        <f>'EE MR 2'!F14</f>
        <v>0</v>
      </c>
      <c r="G13" s="377">
        <f>'EE MR 2'!G14</f>
        <v>0</v>
      </c>
      <c r="H13" s="377">
        <f>'EE MR 2'!H14</f>
        <v>0</v>
      </c>
      <c r="I13" s="377">
        <f>'EE MR 2'!I14</f>
        <v>0</v>
      </c>
      <c r="K13" s="784" t="s">
        <v>548</v>
      </c>
      <c r="L13" s="784"/>
      <c r="M13" s="784"/>
      <c r="N13" s="784"/>
      <c r="P13" s="811" t="s">
        <v>6</v>
      </c>
      <c r="Q13" s="812"/>
      <c r="R13" s="813">
        <f>IF(S12&gt;=20%,8,IF(S12&gt;=18%,7,IF(S12&gt;=16%,6,IF(S12&gt;=14%,5,IF(S12&gt;=12%,4,IF(S12&gt;=10%,3,IF(S12&gt;=8%,2,IF(S12&gt;=6%,1,0))))))))</f>
        <v>0</v>
      </c>
      <c r="S13" s="814"/>
    </row>
    <row r="14" spans="1:19" ht="25.05" customHeight="1">
      <c r="A14" s="94"/>
      <c r="B14" s="373" t="s">
        <v>1035</v>
      </c>
      <c r="C14" s="373">
        <f>'EE MR 2'!C15</f>
        <v>0</v>
      </c>
      <c r="D14" s="377">
        <f>'EE MR 2'!D15</f>
        <v>0</v>
      </c>
      <c r="E14" s="377">
        <f>'EE MR 2'!E15</f>
        <v>0</v>
      </c>
      <c r="F14" s="377">
        <f>'EE MR 2'!F15</f>
        <v>0</v>
      </c>
      <c r="G14" s="377">
        <f>'EE MR 2'!G15</f>
        <v>0</v>
      </c>
      <c r="H14" s="377">
        <f>'EE MR 2'!H15</f>
        <v>0</v>
      </c>
      <c r="I14" s="377">
        <f>'EE MR 2'!I15</f>
        <v>0</v>
      </c>
      <c r="K14" s="373" t="s">
        <v>281</v>
      </c>
      <c r="L14" s="782" t="s">
        <v>886</v>
      </c>
      <c r="M14" s="782"/>
      <c r="N14" s="403">
        <f>'EE MR 2'!N29</f>
        <v>80</v>
      </c>
      <c r="P14" s="815" t="s">
        <v>695</v>
      </c>
      <c r="Q14" s="815"/>
      <c r="R14" s="815" t="s">
        <v>364</v>
      </c>
      <c r="S14" s="815"/>
    </row>
    <row r="15" spans="1:19" ht="25.05" customHeight="1">
      <c r="A15" s="94"/>
      <c r="B15" s="373" t="s">
        <v>1036</v>
      </c>
      <c r="C15" s="373">
        <f>'EE MR 2'!C16</f>
        <v>0</v>
      </c>
      <c r="D15" s="377">
        <f>'EE MR 2'!D16</f>
        <v>0</v>
      </c>
      <c r="E15" s="377">
        <f>'EE MR 2'!E16</f>
        <v>0</v>
      </c>
      <c r="F15" s="377">
        <f>'EE MR 2'!F16</f>
        <v>0</v>
      </c>
      <c r="G15" s="377">
        <f>'EE MR 2'!G16</f>
        <v>0</v>
      </c>
      <c r="H15" s="377">
        <f>'EE MR 2'!H16</f>
        <v>0</v>
      </c>
      <c r="I15" s="377">
        <f>'EE MR 2'!I16</f>
        <v>0</v>
      </c>
      <c r="K15" s="373" t="s">
        <v>282</v>
      </c>
      <c r="L15" s="783" t="s">
        <v>170</v>
      </c>
      <c r="M15" s="783"/>
      <c r="N15" s="395" t="str">
        <f>'EE MR 2'!N30</f>
        <v>0</v>
      </c>
      <c r="P15" s="809">
        <v>0.06</v>
      </c>
      <c r="Q15" s="809"/>
      <c r="R15" s="810">
        <v>1</v>
      </c>
      <c r="S15" s="810"/>
    </row>
    <row r="16" spans="1:19" ht="25.05" customHeight="1">
      <c r="B16" s="373" t="s">
        <v>1037</v>
      </c>
      <c r="C16" s="373">
        <f>'EE MR 2'!C17</f>
        <v>0</v>
      </c>
      <c r="D16" s="377">
        <f>'EE MR 2'!D17</f>
        <v>0</v>
      </c>
      <c r="E16" s="377">
        <f>'EE MR 2'!E17</f>
        <v>0</v>
      </c>
      <c r="F16" s="377">
        <f>'EE MR 2'!F17</f>
        <v>0</v>
      </c>
      <c r="G16" s="377">
        <f>'EE MR 2'!G17</f>
        <v>0</v>
      </c>
      <c r="H16" s="377">
        <f>'EE MR 2'!H17</f>
        <v>0</v>
      </c>
      <c r="I16" s="377">
        <f>'EE MR 2'!I17</f>
        <v>0</v>
      </c>
      <c r="K16" s="370" t="s">
        <v>6</v>
      </c>
      <c r="L16" s="370"/>
      <c r="M16" s="821">
        <f>IFERROR(IF(--N15&lt;=0,0,IF(--N15&gt;=20%,8,IF(--N15&gt;=18%,7,IF(--N15&gt;=16%,6,IF(--N15&gt;=14%,5,IF(--N15&gt;=12%,4,IF(--N15&gt;=10%,3,IF(--N15&gt;=8%,2,IF(--N15&gt;=6%,1,0))))))))),0)</f>
        <v>0</v>
      </c>
      <c r="N16" s="821"/>
      <c r="P16" s="809">
        <v>0.08</v>
      </c>
      <c r="Q16" s="809"/>
      <c r="R16" s="810">
        <v>2</v>
      </c>
      <c r="S16" s="810"/>
    </row>
    <row r="17" spans="1:19" ht="25.05" customHeight="1">
      <c r="B17" s="373" t="s">
        <v>1038</v>
      </c>
      <c r="C17" s="373">
        <f>'EE MR 2'!C18</f>
        <v>0</v>
      </c>
      <c r="D17" s="377">
        <f>'EE MR 2'!D18</f>
        <v>0</v>
      </c>
      <c r="E17" s="377">
        <f>'EE MR 2'!E18</f>
        <v>0</v>
      </c>
      <c r="F17" s="377">
        <f>'EE MR 2'!F18</f>
        <v>0</v>
      </c>
      <c r="G17" s="377">
        <f>'EE MR 2'!G18</f>
        <v>0</v>
      </c>
      <c r="H17" s="377">
        <f>'EE MR 2'!H18</f>
        <v>0</v>
      </c>
      <c r="I17" s="377">
        <f>'EE MR 2'!I18</f>
        <v>0</v>
      </c>
      <c r="K17" s="815" t="s">
        <v>695</v>
      </c>
      <c r="L17" s="815"/>
      <c r="M17" s="815" t="s">
        <v>364</v>
      </c>
      <c r="N17" s="815"/>
      <c r="P17" s="809">
        <v>0.1</v>
      </c>
      <c r="Q17" s="809"/>
      <c r="R17" s="810">
        <v>3</v>
      </c>
      <c r="S17" s="810"/>
    </row>
    <row r="18" spans="1:19" ht="25.05" customHeight="1">
      <c r="B18" s="373" t="s">
        <v>1039</v>
      </c>
      <c r="C18" s="373">
        <f>'EE MR 2'!C19</f>
        <v>0</v>
      </c>
      <c r="D18" s="377">
        <f>'EE MR 2'!D19</f>
        <v>0</v>
      </c>
      <c r="E18" s="377">
        <f>'EE MR 2'!E19</f>
        <v>0</v>
      </c>
      <c r="F18" s="377">
        <f>'EE MR 2'!F19</f>
        <v>0</v>
      </c>
      <c r="G18" s="377">
        <f>'EE MR 2'!G19</f>
        <v>0</v>
      </c>
      <c r="H18" s="377">
        <f>'EE MR 2'!H19</f>
        <v>0</v>
      </c>
      <c r="I18" s="377">
        <f>'EE MR 2'!I19</f>
        <v>0</v>
      </c>
      <c r="K18" s="809">
        <v>0.06</v>
      </c>
      <c r="L18" s="809"/>
      <c r="M18" s="810">
        <v>1</v>
      </c>
      <c r="N18" s="810"/>
      <c r="P18" s="822">
        <v>0.12</v>
      </c>
      <c r="Q18" s="822"/>
      <c r="R18" s="824">
        <v>4</v>
      </c>
      <c r="S18" s="824"/>
    </row>
    <row r="19" spans="1:19" ht="25.05" customHeight="1">
      <c r="A19" s="101"/>
      <c r="B19" s="373" t="s">
        <v>1040</v>
      </c>
      <c r="C19" s="373">
        <f>'EE MR 2'!C20</f>
        <v>0</v>
      </c>
      <c r="D19" s="377">
        <f>'EE MR 2'!D20</f>
        <v>0</v>
      </c>
      <c r="E19" s="377">
        <f>'EE MR 2'!E20</f>
        <v>0</v>
      </c>
      <c r="F19" s="377">
        <f>'EE MR 2'!F20</f>
        <v>0</v>
      </c>
      <c r="G19" s="377">
        <f>'EE MR 2'!G20</f>
        <v>0</v>
      </c>
      <c r="H19" s="377">
        <f>'EE MR 2'!H20</f>
        <v>0</v>
      </c>
      <c r="I19" s="377">
        <f>'EE MR 2'!I20</f>
        <v>0</v>
      </c>
      <c r="K19" s="809">
        <v>0.08</v>
      </c>
      <c r="L19" s="809"/>
      <c r="M19" s="810">
        <v>2</v>
      </c>
      <c r="N19" s="810"/>
      <c r="P19" s="809">
        <v>0.14000000000000001</v>
      </c>
      <c r="Q19" s="809"/>
      <c r="R19" s="810">
        <v>5</v>
      </c>
      <c r="S19" s="810"/>
    </row>
    <row r="20" spans="1:19" ht="27" customHeight="1">
      <c r="B20" s="373" t="s">
        <v>1041</v>
      </c>
      <c r="C20" s="373">
        <f>'EE MR 2'!C21</f>
        <v>0</v>
      </c>
      <c r="D20" s="377">
        <f>'EE MR 2'!D21</f>
        <v>0</v>
      </c>
      <c r="E20" s="377">
        <f>'EE MR 2'!E21</f>
        <v>0</v>
      </c>
      <c r="F20" s="377">
        <f>'EE MR 2'!F21</f>
        <v>0</v>
      </c>
      <c r="G20" s="377">
        <f>'EE MR 2'!G21</f>
        <v>0</v>
      </c>
      <c r="H20" s="377">
        <f>'EE MR 2'!H21</f>
        <v>0</v>
      </c>
      <c r="I20" s="377">
        <f>'EE MR 2'!I21</f>
        <v>0</v>
      </c>
      <c r="K20" s="809">
        <v>0.1</v>
      </c>
      <c r="L20" s="809"/>
      <c r="M20" s="810">
        <v>3</v>
      </c>
      <c r="N20" s="810"/>
      <c r="P20" s="809">
        <v>0.16</v>
      </c>
      <c r="Q20" s="809"/>
      <c r="R20" s="810">
        <v>6</v>
      </c>
      <c r="S20" s="810"/>
    </row>
    <row r="21" spans="1:19" ht="25.05" customHeight="1">
      <c r="B21" s="373" t="s">
        <v>1042</v>
      </c>
      <c r="C21" s="373">
        <f>'EE MR 2'!C22</f>
        <v>0</v>
      </c>
      <c r="D21" s="377">
        <f>'EE MR 2'!D22</f>
        <v>0</v>
      </c>
      <c r="E21" s="377">
        <f>'EE MR 2'!E22</f>
        <v>0</v>
      </c>
      <c r="F21" s="377">
        <f>'EE MR 2'!F22</f>
        <v>0</v>
      </c>
      <c r="G21" s="377">
        <f>'EE MR 2'!G22</f>
        <v>0</v>
      </c>
      <c r="H21" s="377">
        <f>'EE MR 2'!H22</f>
        <v>0</v>
      </c>
      <c r="I21" s="377">
        <f>'EE MR 2'!I22</f>
        <v>0</v>
      </c>
      <c r="K21" s="822">
        <v>0.12</v>
      </c>
      <c r="L21" s="822"/>
      <c r="M21" s="824">
        <v>4</v>
      </c>
      <c r="N21" s="824"/>
      <c r="P21" s="809">
        <v>0.18</v>
      </c>
      <c r="Q21" s="809"/>
      <c r="R21" s="810">
        <v>7</v>
      </c>
      <c r="S21" s="810"/>
    </row>
    <row r="22" spans="1:19" ht="25.05" customHeight="1">
      <c r="A22" s="94"/>
      <c r="B22" s="373" t="s">
        <v>1043</v>
      </c>
      <c r="C22" s="373">
        <f>'EE MR 2'!C23</f>
        <v>0</v>
      </c>
      <c r="D22" s="377">
        <f>'EE MR 2'!D23</f>
        <v>0</v>
      </c>
      <c r="E22" s="377">
        <f>'EE MR 2'!E23</f>
        <v>0</v>
      </c>
      <c r="F22" s="377">
        <f>'EE MR 2'!F23</f>
        <v>0</v>
      </c>
      <c r="G22" s="377">
        <f>'EE MR 2'!G23</f>
        <v>0</v>
      </c>
      <c r="H22" s="377">
        <f>'EE MR 2'!H23</f>
        <v>0</v>
      </c>
      <c r="I22" s="377">
        <f>'EE MR 2'!I23</f>
        <v>0</v>
      </c>
      <c r="K22" s="809">
        <v>0.14000000000000001</v>
      </c>
      <c r="L22" s="809"/>
      <c r="M22" s="810">
        <v>5</v>
      </c>
      <c r="N22" s="810"/>
      <c r="P22" s="809">
        <v>0.2</v>
      </c>
      <c r="Q22" s="809"/>
      <c r="R22" s="810">
        <v>8</v>
      </c>
      <c r="S22" s="810"/>
    </row>
    <row r="23" spans="1:19" ht="25.05" customHeight="1">
      <c r="A23" s="94"/>
      <c r="B23" s="786" t="s">
        <v>542</v>
      </c>
      <c r="C23" s="786"/>
      <c r="D23" s="379">
        <f t="shared" ref="D23:I23" si="0">SUM(D11:D22)</f>
        <v>0</v>
      </c>
      <c r="E23" s="379">
        <f t="shared" si="0"/>
        <v>0</v>
      </c>
      <c r="F23" s="379">
        <f t="shared" si="0"/>
        <v>0</v>
      </c>
      <c r="G23" s="379">
        <f t="shared" si="0"/>
        <v>0</v>
      </c>
      <c r="H23" s="379">
        <f t="shared" si="0"/>
        <v>0</v>
      </c>
      <c r="I23" s="379">
        <f t="shared" si="0"/>
        <v>0</v>
      </c>
      <c r="K23" s="809">
        <v>0.16</v>
      </c>
      <c r="L23" s="809"/>
      <c r="M23" s="810">
        <v>6</v>
      </c>
      <c r="N23" s="810"/>
      <c r="P23" s="825"/>
      <c r="Q23" s="825"/>
      <c r="R23" s="825"/>
      <c r="S23" s="825"/>
    </row>
    <row r="24" spans="1:19" ht="25.05" customHeight="1">
      <c r="A24" s="94"/>
      <c r="B24" s="786" t="s">
        <v>1020</v>
      </c>
      <c r="C24" s="786"/>
      <c r="D24" s="380">
        <v>1</v>
      </c>
      <c r="E24" s="380">
        <v>1</v>
      </c>
      <c r="F24" s="380">
        <v>1</v>
      </c>
      <c r="G24" s="380">
        <v>10</v>
      </c>
      <c r="H24" s="380">
        <v>13.84</v>
      </c>
      <c r="I24" s="380">
        <v>10.76</v>
      </c>
      <c r="K24" s="809">
        <v>0.18</v>
      </c>
      <c r="L24" s="809"/>
      <c r="M24" s="810">
        <v>7</v>
      </c>
      <c r="N24" s="810"/>
      <c r="P24" s="612"/>
      <c r="Q24" s="612"/>
      <c r="R24" s="612"/>
      <c r="S24" s="612"/>
    </row>
    <row r="25" spans="1:19" ht="25.05" customHeight="1">
      <c r="A25" s="94"/>
      <c r="B25" s="786" t="s">
        <v>1021</v>
      </c>
      <c r="C25" s="786"/>
      <c r="D25" s="381">
        <f>D23*D24</f>
        <v>0</v>
      </c>
      <c r="E25" s="381">
        <f t="shared" ref="E25:I25" si="1">E23*E24</f>
        <v>0</v>
      </c>
      <c r="F25" s="381">
        <f t="shared" si="1"/>
        <v>0</v>
      </c>
      <c r="G25" s="381">
        <f t="shared" si="1"/>
        <v>0</v>
      </c>
      <c r="H25" s="381">
        <f t="shared" si="1"/>
        <v>0</v>
      </c>
      <c r="I25" s="381">
        <f t="shared" si="1"/>
        <v>0</v>
      </c>
      <c r="J25" s="296"/>
      <c r="K25" s="809">
        <v>0.2</v>
      </c>
      <c r="L25" s="809"/>
      <c r="M25" s="810">
        <v>8</v>
      </c>
      <c r="N25" s="810"/>
      <c r="P25" s="612"/>
      <c r="Q25" s="612"/>
      <c r="R25" s="612"/>
      <c r="S25" s="612"/>
    </row>
    <row r="26" spans="1:19" ht="25.05" customHeight="1">
      <c r="A26" s="94"/>
      <c r="B26" s="823" t="s">
        <v>345</v>
      </c>
      <c r="C26" s="823"/>
      <c r="D26" s="789">
        <f>SUM(D25:I25)</f>
        <v>0</v>
      </c>
      <c r="E26" s="789"/>
      <c r="F26" s="789"/>
      <c r="G26" s="789"/>
      <c r="H26" s="789"/>
      <c r="I26" s="789"/>
      <c r="J26" s="296"/>
      <c r="K26" s="825"/>
      <c r="L26" s="825"/>
      <c r="M26" s="825"/>
      <c r="N26" s="825"/>
      <c r="P26" s="612"/>
      <c r="Q26" s="612"/>
      <c r="R26" s="612"/>
      <c r="S26" s="612"/>
    </row>
    <row r="27" spans="1:19" ht="25.05" customHeight="1">
      <c r="A27" s="94"/>
      <c r="B27" s="794" t="s">
        <v>543</v>
      </c>
      <c r="C27" s="794"/>
      <c r="D27" s="794"/>
      <c r="E27" s="787" t="e">
        <f>(D25+E25+F25+G25+H25+I25)/'Project Info'!C16</f>
        <v>#DIV/0!</v>
      </c>
      <c r="F27" s="787"/>
      <c r="G27" s="787"/>
      <c r="H27" s="787"/>
      <c r="I27" s="787"/>
      <c r="K27" s="612"/>
      <c r="L27" s="612"/>
      <c r="M27" s="612"/>
      <c r="N27" s="612"/>
      <c r="P27" s="667" t="s">
        <v>146</v>
      </c>
      <c r="Q27" s="667"/>
      <c r="R27" s="667"/>
      <c r="S27" s="667"/>
    </row>
    <row r="28" spans="1:19" ht="25.05" customHeight="1">
      <c r="A28" s="94"/>
      <c r="B28" s="382" t="s">
        <v>701</v>
      </c>
      <c r="C28" s="382"/>
      <c r="D28" s="791" t="s">
        <v>622</v>
      </c>
      <c r="E28" s="791"/>
      <c r="F28" s="791"/>
      <c r="G28" s="791" t="s">
        <v>631</v>
      </c>
      <c r="H28" s="791"/>
      <c r="I28" s="791"/>
      <c r="K28" s="612"/>
      <c r="L28" s="612"/>
      <c r="M28" s="612"/>
      <c r="N28" s="612"/>
      <c r="P28" s="106" t="s">
        <v>557</v>
      </c>
      <c r="Q28" s="97"/>
      <c r="R28" s="97"/>
      <c r="S28" s="101"/>
    </row>
    <row r="29" spans="1:19" ht="25.05" customHeight="1">
      <c r="A29" s="94"/>
      <c r="B29" s="792" t="s">
        <v>702</v>
      </c>
      <c r="C29" s="792"/>
      <c r="D29" s="785" t="s">
        <v>704</v>
      </c>
      <c r="E29" s="785"/>
      <c r="F29" s="785"/>
      <c r="G29" s="788" cm="1">
        <f t="array" ref="G29">IF(OR('Project Info'!C9="",'Project Info'!C10=""),"",IF(VALUE(LEFT(TRIM('Project Info'!C9),1))&lt;=3,_xlfn.SWITCH(TRIM('Project Info'!C10),"Warm Humid",215,"Composite",201,"Hot &amp; Dry",167,"Moderate",107,""),_xlfn.SWITCH(TRIM('Project Info'!C10),"Warm Humid",333,"Composite",290,"Hot &amp; Dry",250,"Moderate",313,"")))</f>
        <v>290</v>
      </c>
      <c r="H29" s="788"/>
      <c r="I29" s="788"/>
      <c r="K29" s="612"/>
      <c r="L29" s="612"/>
      <c r="M29" s="612"/>
      <c r="N29" s="612"/>
      <c r="O29" s="103"/>
      <c r="P29" s="560" t="s">
        <v>558</v>
      </c>
      <c r="Q29" s="560"/>
      <c r="R29" s="560"/>
      <c r="S29" s="101" t="s">
        <v>139</v>
      </c>
    </row>
    <row r="30" spans="1:19" ht="24.6" customHeight="1">
      <c r="A30" s="94"/>
      <c r="B30" s="792" t="s">
        <v>703</v>
      </c>
      <c r="C30" s="792"/>
      <c r="D30" s="785" t="s">
        <v>704</v>
      </c>
      <c r="E30" s="785"/>
      <c r="F30" s="785"/>
      <c r="G30" s="788" t="e">
        <f>E27</f>
        <v>#DIV/0!</v>
      </c>
      <c r="H30" s="788"/>
      <c r="I30" s="788"/>
      <c r="K30" s="248" t="s">
        <v>146</v>
      </c>
      <c r="L30" s="248"/>
      <c r="M30" s="248"/>
      <c r="N30" s="248"/>
      <c r="O30" s="103"/>
      <c r="P30" s="560" t="s">
        <v>559</v>
      </c>
      <c r="Q30" s="560"/>
      <c r="R30" s="560"/>
      <c r="S30" s="101" t="s">
        <v>139</v>
      </c>
    </row>
    <row r="31" spans="1:19" ht="18" customHeight="1">
      <c r="A31" s="94"/>
      <c r="B31" s="792" t="s">
        <v>693</v>
      </c>
      <c r="C31" s="792"/>
      <c r="D31" s="785" t="s">
        <v>170</v>
      </c>
      <c r="E31" s="785"/>
      <c r="F31" s="785"/>
      <c r="G31" s="790">
        <f>IFERROR((G29-G30)/G29,0)</f>
        <v>0</v>
      </c>
      <c r="H31" s="790"/>
      <c r="I31" s="790"/>
      <c r="K31" s="212" t="s">
        <v>554</v>
      </c>
      <c r="L31" s="97"/>
      <c r="M31" s="97"/>
      <c r="N31" s="101"/>
      <c r="O31" s="103"/>
      <c r="P31" s="560" t="s">
        <v>560</v>
      </c>
      <c r="Q31" s="560"/>
      <c r="R31" s="560"/>
      <c r="S31" s="101" t="s">
        <v>139</v>
      </c>
    </row>
    <row r="32" spans="1:19" ht="28.8" customHeight="1">
      <c r="A32" s="94"/>
      <c r="B32" s="817" t="s">
        <v>6</v>
      </c>
      <c r="C32" s="817"/>
      <c r="D32" s="817"/>
      <c r="E32" s="817"/>
      <c r="F32" s="818">
        <f>IF(G31&gt;=20%,8,IF(G31&gt;=18%,7,IF(G31&gt;=16%,6,IF(G31&gt;=14%,5,IF(G31&gt;=12%,4,IF(G31&gt;=10%,3,IF(G31&gt;=8%,2,IF(G31&gt;=6%,1,0))))))))</f>
        <v>0</v>
      </c>
      <c r="G32" s="819"/>
      <c r="H32" s="819"/>
      <c r="I32" s="820"/>
      <c r="J32" s="103"/>
      <c r="K32" s="560" t="s">
        <v>555</v>
      </c>
      <c r="L32" s="560"/>
      <c r="M32" s="560"/>
      <c r="N32" s="101" t="s">
        <v>139</v>
      </c>
      <c r="P32" s="670" t="s">
        <v>147</v>
      </c>
      <c r="Q32" s="670"/>
      <c r="R32" s="670"/>
    </row>
    <row r="33" spans="1:19" ht="18" customHeight="1">
      <c r="A33" s="94"/>
      <c r="B33" s="136"/>
      <c r="C33" s="136"/>
      <c r="D33" s="136"/>
      <c r="E33" s="136"/>
      <c r="F33" s="296"/>
      <c r="G33" s="296"/>
      <c r="H33" s="296"/>
      <c r="I33" s="296"/>
      <c r="J33" s="103"/>
      <c r="K33" s="560" t="s">
        <v>556</v>
      </c>
      <c r="L33" s="560"/>
      <c r="M33" s="560"/>
      <c r="N33" s="101" t="s">
        <v>139</v>
      </c>
      <c r="O33" s="114"/>
      <c r="S33" s="101" t="s">
        <v>139</v>
      </c>
    </row>
    <row r="34" spans="1:19" ht="18" customHeight="1">
      <c r="A34" s="94"/>
      <c r="B34" s="815" t="s">
        <v>694</v>
      </c>
      <c r="C34" s="815"/>
      <c r="D34" s="815"/>
      <c r="E34" s="815"/>
      <c r="F34" s="815" t="s">
        <v>364</v>
      </c>
      <c r="G34" s="815"/>
      <c r="H34" s="815"/>
      <c r="I34" s="815"/>
      <c r="J34" s="103"/>
      <c r="K34" s="560" t="s">
        <v>552</v>
      </c>
      <c r="L34" s="560"/>
      <c r="M34" s="560"/>
      <c r="N34" s="101" t="s">
        <v>139</v>
      </c>
      <c r="O34" s="114"/>
      <c r="S34" s="101" t="s">
        <v>139</v>
      </c>
    </row>
    <row r="35" spans="1:19" ht="18" customHeight="1">
      <c r="A35" s="94"/>
      <c r="B35" s="809">
        <v>0.06</v>
      </c>
      <c r="C35" s="809"/>
      <c r="D35" s="809"/>
      <c r="E35" s="809"/>
      <c r="F35" s="810">
        <v>1</v>
      </c>
      <c r="G35" s="810"/>
      <c r="H35" s="810"/>
      <c r="I35" s="810"/>
      <c r="K35" s="645" t="s">
        <v>147</v>
      </c>
      <c r="L35" s="645"/>
      <c r="M35" s="645"/>
      <c r="O35" s="114"/>
      <c r="S35" s="101" t="s">
        <v>139</v>
      </c>
    </row>
    <row r="36" spans="1:19" ht="18" customHeight="1">
      <c r="A36" s="94"/>
      <c r="B36" s="809">
        <v>0.08</v>
      </c>
      <c r="C36" s="809"/>
      <c r="D36" s="809"/>
      <c r="E36" s="809"/>
      <c r="F36" s="810">
        <v>2</v>
      </c>
      <c r="G36" s="810"/>
      <c r="H36" s="810"/>
      <c r="I36" s="810"/>
      <c r="J36" s="114"/>
      <c r="K36" s="560"/>
      <c r="L36" s="560"/>
      <c r="M36" s="560"/>
      <c r="N36" s="101" t="s">
        <v>139</v>
      </c>
    </row>
    <row r="37" spans="1:19" ht="18" customHeight="1">
      <c r="A37" s="94"/>
      <c r="B37" s="809">
        <v>0.1</v>
      </c>
      <c r="C37" s="809"/>
      <c r="D37" s="809"/>
      <c r="E37" s="809"/>
      <c r="F37" s="810">
        <v>3</v>
      </c>
      <c r="G37" s="810"/>
      <c r="H37" s="810"/>
      <c r="I37" s="810"/>
      <c r="J37" s="114"/>
      <c r="N37" s="101" t="s">
        <v>139</v>
      </c>
    </row>
    <row r="38" spans="1:19" ht="18" customHeight="1">
      <c r="A38" s="94"/>
      <c r="B38" s="822">
        <v>0.12</v>
      </c>
      <c r="C38" s="822"/>
      <c r="D38" s="822"/>
      <c r="E38" s="822"/>
      <c r="F38" s="824">
        <v>4</v>
      </c>
      <c r="G38" s="824"/>
      <c r="H38" s="824"/>
      <c r="I38" s="824"/>
      <c r="J38" s="114"/>
      <c r="N38" s="101" t="s">
        <v>139</v>
      </c>
    </row>
    <row r="39" spans="1:19" ht="18" customHeight="1">
      <c r="A39" s="94"/>
      <c r="B39" s="809">
        <v>0.14000000000000001</v>
      </c>
      <c r="C39" s="809"/>
      <c r="D39" s="809"/>
      <c r="E39" s="809"/>
      <c r="F39" s="810">
        <v>5</v>
      </c>
      <c r="G39" s="810"/>
      <c r="H39" s="810"/>
      <c r="I39" s="810"/>
    </row>
    <row r="40" spans="1:19" ht="18" customHeight="1">
      <c r="A40" s="94"/>
      <c r="B40" s="809">
        <v>0.16</v>
      </c>
      <c r="C40" s="809"/>
      <c r="D40" s="809"/>
      <c r="E40" s="809"/>
      <c r="F40" s="810">
        <v>6</v>
      </c>
      <c r="G40" s="810"/>
      <c r="H40" s="810"/>
      <c r="I40" s="810"/>
    </row>
    <row r="41" spans="1:19" ht="18" customHeight="1">
      <c r="A41" s="94"/>
      <c r="B41" s="809">
        <v>0.18</v>
      </c>
      <c r="C41" s="809"/>
      <c r="D41" s="809"/>
      <c r="E41" s="809"/>
      <c r="F41" s="810">
        <v>7</v>
      </c>
      <c r="G41" s="810"/>
      <c r="H41" s="810"/>
      <c r="I41" s="810"/>
    </row>
    <row r="42" spans="1:19" ht="18" customHeight="1">
      <c r="A42" s="94"/>
      <c r="B42" s="809">
        <v>0.2</v>
      </c>
      <c r="C42" s="809"/>
      <c r="D42" s="809"/>
      <c r="E42" s="809"/>
      <c r="F42" s="810">
        <v>8</v>
      </c>
      <c r="G42" s="810"/>
      <c r="H42" s="810"/>
      <c r="I42" s="810"/>
    </row>
    <row r="43" spans="1:19" ht="21" customHeight="1">
      <c r="A43" s="94"/>
      <c r="G43" s="401"/>
      <c r="H43" s="401"/>
      <c r="I43" s="101"/>
    </row>
    <row r="44" spans="1:19" ht="13.95" customHeight="1">
      <c r="B44" s="560"/>
      <c r="C44" s="560"/>
      <c r="D44" s="560"/>
      <c r="E44" s="560"/>
      <c r="F44" s="560"/>
      <c r="G44" s="560"/>
      <c r="H44" s="560"/>
      <c r="I44" s="101"/>
    </row>
    <row r="45" spans="1:19">
      <c r="B45" s="713" t="s">
        <v>146</v>
      </c>
      <c r="C45" s="713"/>
      <c r="D45" s="713"/>
      <c r="E45" s="713"/>
      <c r="F45" s="713"/>
      <c r="G45" s="713"/>
      <c r="H45" s="713"/>
      <c r="I45" s="713"/>
    </row>
    <row r="46" spans="1:19" ht="31.2" customHeight="1">
      <c r="B46" s="567" t="s">
        <v>553</v>
      </c>
      <c r="C46" s="567"/>
      <c r="D46" s="92"/>
      <c r="E46" s="92"/>
      <c r="F46" s="92"/>
    </row>
    <row r="47" spans="1:19" ht="19.2" customHeight="1">
      <c r="B47" s="570" t="s">
        <v>551</v>
      </c>
      <c r="C47" s="570"/>
      <c r="D47" s="570"/>
      <c r="E47" s="570"/>
      <c r="F47" s="570"/>
      <c r="G47" s="570"/>
      <c r="H47" s="570"/>
      <c r="I47" s="101" t="s">
        <v>139</v>
      </c>
    </row>
    <row r="48" spans="1:19" ht="15.6" customHeight="1">
      <c r="A48" s="114"/>
      <c r="B48" s="560" t="s">
        <v>552</v>
      </c>
      <c r="C48" s="560"/>
      <c r="D48" s="560"/>
      <c r="E48" s="560"/>
      <c r="F48" s="560"/>
      <c r="G48" s="560"/>
      <c r="H48" s="560"/>
      <c r="I48" s="101" t="s">
        <v>139</v>
      </c>
    </row>
    <row r="49" spans="1:9" ht="14.4">
      <c r="A49" s="114"/>
      <c r="B49" s="645" t="s">
        <v>147</v>
      </c>
      <c r="C49" s="645"/>
      <c r="D49" s="645"/>
      <c r="E49" s="645"/>
      <c r="F49" s="645"/>
      <c r="G49" s="645"/>
      <c r="H49" s="645"/>
      <c r="I49" s="97"/>
    </row>
    <row r="50" spans="1:9" ht="17.399999999999999" customHeight="1">
      <c r="A50" s="114"/>
      <c r="B50" s="581"/>
      <c r="C50" s="581"/>
      <c r="D50" s="581"/>
      <c r="E50" s="581"/>
      <c r="F50" s="581"/>
      <c r="G50" s="581"/>
      <c r="H50" s="581"/>
      <c r="I50" s="581"/>
    </row>
    <row r="51" spans="1:9">
      <c r="B51" s="92"/>
      <c r="C51" s="92"/>
      <c r="D51" s="92"/>
      <c r="E51" s="92"/>
      <c r="F51" s="92"/>
      <c r="G51" s="92"/>
      <c r="H51" s="92"/>
    </row>
    <row r="52" spans="1:9" ht="17.399999999999999" customHeight="1">
      <c r="B52" s="560"/>
      <c r="C52" s="560"/>
      <c r="D52" s="560"/>
      <c r="E52" s="560"/>
      <c r="F52" s="104"/>
      <c r="G52" s="104"/>
      <c r="H52" s="104"/>
      <c r="I52" s="101"/>
    </row>
    <row r="53" spans="1:9" ht="17.399999999999999" customHeight="1">
      <c r="B53" s="560"/>
      <c r="C53" s="560"/>
      <c r="D53" s="560"/>
      <c r="E53" s="560"/>
      <c r="F53" s="104"/>
      <c r="G53" s="104"/>
      <c r="H53" s="104"/>
      <c r="I53" s="101"/>
    </row>
    <row r="54" spans="1:9" ht="17.399999999999999">
      <c r="B54" s="560"/>
      <c r="C54" s="560"/>
      <c r="D54" s="560"/>
      <c r="E54" s="560"/>
      <c r="F54" s="104"/>
      <c r="G54" s="104"/>
      <c r="H54" s="104"/>
      <c r="I54" s="101"/>
    </row>
    <row r="55" spans="1:9" ht="17.399999999999999">
      <c r="B55" s="560"/>
      <c r="C55" s="560"/>
      <c r="D55" s="560"/>
      <c r="E55" s="560"/>
      <c r="F55" s="104"/>
      <c r="G55" s="104"/>
      <c r="H55" s="104"/>
      <c r="I55" s="101"/>
    </row>
  </sheetData>
  <sheetProtection sheet="1" objects="1" scenarios="1"/>
  <mergeCells count="133">
    <mergeCell ref="P5:R5"/>
    <mergeCell ref="B6:S6"/>
    <mergeCell ref="K26:N29"/>
    <mergeCell ref="P23:S26"/>
    <mergeCell ref="M22:N22"/>
    <mergeCell ref="M23:N23"/>
    <mergeCell ref="M24:N24"/>
    <mergeCell ref="M25:N25"/>
    <mergeCell ref="K17:L17"/>
    <mergeCell ref="K18:L18"/>
    <mergeCell ref="K19:L19"/>
    <mergeCell ref="K20:L20"/>
    <mergeCell ref="M17:N17"/>
    <mergeCell ref="B24:C24"/>
    <mergeCell ref="B25:C25"/>
    <mergeCell ref="R17:S17"/>
    <mergeCell ref="P18:Q18"/>
    <mergeCell ref="R18:S18"/>
    <mergeCell ref="P19:Q19"/>
    <mergeCell ref="R19:S19"/>
    <mergeCell ref="P20:Q20"/>
    <mergeCell ref="R20:S20"/>
    <mergeCell ref="R14:S14"/>
    <mergeCell ref="P15:Q15"/>
    <mergeCell ref="B49:H49"/>
    <mergeCell ref="B48:H48"/>
    <mergeCell ref="F42:I42"/>
    <mergeCell ref="B38:E38"/>
    <mergeCell ref="B29:C29"/>
    <mergeCell ref="D29:F29"/>
    <mergeCell ref="G29:I29"/>
    <mergeCell ref="B30:C30"/>
    <mergeCell ref="D30:F30"/>
    <mergeCell ref="G30:I30"/>
    <mergeCell ref="B39:E39"/>
    <mergeCell ref="B40:E40"/>
    <mergeCell ref="B41:E41"/>
    <mergeCell ref="F38:I38"/>
    <mergeCell ref="F39:I39"/>
    <mergeCell ref="F40:I40"/>
    <mergeCell ref="F41:I41"/>
    <mergeCell ref="B35:E35"/>
    <mergeCell ref="B36:E36"/>
    <mergeCell ref="B37:E37"/>
    <mergeCell ref="F35:I35"/>
    <mergeCell ref="F36:I36"/>
    <mergeCell ref="F37:I37"/>
    <mergeCell ref="B5:H5"/>
    <mergeCell ref="K5:M5"/>
    <mergeCell ref="B55:E55"/>
    <mergeCell ref="K32:M32"/>
    <mergeCell ref="K33:M33"/>
    <mergeCell ref="B50:I50"/>
    <mergeCell ref="B52:E52"/>
    <mergeCell ref="B53:E53"/>
    <mergeCell ref="B54:E54"/>
    <mergeCell ref="B27:D27"/>
    <mergeCell ref="E27:I27"/>
    <mergeCell ref="D28:F28"/>
    <mergeCell ref="G28:I28"/>
    <mergeCell ref="B31:C31"/>
    <mergeCell ref="D31:F31"/>
    <mergeCell ref="G31:I31"/>
    <mergeCell ref="B44:H44"/>
    <mergeCell ref="B42:E42"/>
    <mergeCell ref="F34:I34"/>
    <mergeCell ref="B45:I45"/>
    <mergeCell ref="B47:H47"/>
    <mergeCell ref="B46:C46"/>
    <mergeCell ref="K35:M35"/>
    <mergeCell ref="K36:M36"/>
    <mergeCell ref="K25:L25"/>
    <mergeCell ref="B26:C26"/>
    <mergeCell ref="D26:I26"/>
    <mergeCell ref="B34:E34"/>
    <mergeCell ref="K34:M34"/>
    <mergeCell ref="G9:G10"/>
    <mergeCell ref="L8:M8"/>
    <mergeCell ref="L9:M9"/>
    <mergeCell ref="L11:M11"/>
    <mergeCell ref="I9:I10"/>
    <mergeCell ref="M18:N18"/>
    <mergeCell ref="M19:N19"/>
    <mergeCell ref="M20:N20"/>
    <mergeCell ref="M21:N21"/>
    <mergeCell ref="I1:M1"/>
    <mergeCell ref="B1:H1"/>
    <mergeCell ref="B32:E32"/>
    <mergeCell ref="F32:I32"/>
    <mergeCell ref="B8:B10"/>
    <mergeCell ref="C8:C10"/>
    <mergeCell ref="D9:D10"/>
    <mergeCell ref="E9:F9"/>
    <mergeCell ref="B23:C23"/>
    <mergeCell ref="M16:N16"/>
    <mergeCell ref="L10:M10"/>
    <mergeCell ref="L12:M12"/>
    <mergeCell ref="K13:N13"/>
    <mergeCell ref="L14:M14"/>
    <mergeCell ref="L15:M15"/>
    <mergeCell ref="D8:I8"/>
    <mergeCell ref="K21:L21"/>
    <mergeCell ref="K22:L22"/>
    <mergeCell ref="H9:H10"/>
    <mergeCell ref="K4:N4"/>
    <mergeCell ref="B2:F2"/>
    <mergeCell ref="B4:I4"/>
    <mergeCell ref="K23:L23"/>
    <mergeCell ref="K24:L24"/>
    <mergeCell ref="Q1:S1"/>
    <mergeCell ref="N1:P1"/>
    <mergeCell ref="P4:S4"/>
    <mergeCell ref="P8:R8"/>
    <mergeCell ref="P32:R32"/>
    <mergeCell ref="Q9:R9"/>
    <mergeCell ref="Q10:R10"/>
    <mergeCell ref="Q11:R11"/>
    <mergeCell ref="Q12:R12"/>
    <mergeCell ref="P21:Q21"/>
    <mergeCell ref="P16:Q16"/>
    <mergeCell ref="R16:S16"/>
    <mergeCell ref="P17:Q17"/>
    <mergeCell ref="R21:S21"/>
    <mergeCell ref="P22:Q22"/>
    <mergeCell ref="R22:S22"/>
    <mergeCell ref="P13:Q13"/>
    <mergeCell ref="R13:S13"/>
    <mergeCell ref="P14:Q14"/>
    <mergeCell ref="R15:S15"/>
    <mergeCell ref="P29:R29"/>
    <mergeCell ref="P27:S27"/>
    <mergeCell ref="P30:R30"/>
    <mergeCell ref="P31:R31"/>
  </mergeCells>
  <conditionalFormatting sqref="B8:I32">
    <cfRule type="expression" dxfId="80" priority="3">
      <formula>$I$7&lt;&gt;"☑"</formula>
    </cfRule>
  </conditionalFormatting>
  <conditionalFormatting sqref="K8:N25">
    <cfRule type="expression" dxfId="79" priority="2">
      <formula>$N$7&lt;&gt;"☑"</formula>
    </cfRule>
  </conditionalFormatting>
  <conditionalFormatting sqref="P8:S22">
    <cfRule type="expression" dxfId="78" priority="1">
      <formula>$S$7&lt;&gt;"☑"</formula>
    </cfRule>
  </conditionalFormatting>
  <dataValidations count="2">
    <dataValidation type="list" sqref="A1 I7 I52:I55 S33:S35 N7 S7:S8 I43:I44 I47:I48 S28:S31 N36:N38 N31:N34" xr:uid="{00000000-0002-0000-1700-000001000000}">
      <formula1>"☐,☑"</formula1>
    </dataValidation>
    <dataValidation sqref="A19 G9:I9 G11:I22" xr:uid="{63EC6865-0BCA-4752-AD93-1ACC3810A626}"/>
  </dataValidations>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E48"/>
  <sheetViews>
    <sheetView topLeftCell="A4" workbookViewId="0">
      <selection activeCell="E21" sqref="E21"/>
    </sheetView>
  </sheetViews>
  <sheetFormatPr defaultRowHeight="13.8"/>
  <cols>
    <col min="1" max="1" width="11.296875" style="93" customWidth="1"/>
    <col min="2" max="2" width="31.3984375" style="93" customWidth="1"/>
    <col min="3" max="3" width="27.5" style="93" customWidth="1"/>
    <col min="4" max="4" width="16.296875" style="93" customWidth="1"/>
    <col min="5" max="5" width="12.296875" style="93" customWidth="1"/>
    <col min="6" max="16384" width="8.796875" style="93"/>
  </cols>
  <sheetData>
    <row r="1" spans="1:5" ht="17.399999999999999">
      <c r="A1" s="91" t="s">
        <v>134</v>
      </c>
      <c r="B1" s="92" t="s">
        <v>163</v>
      </c>
      <c r="C1" s="9">
        <f>MIN(3,E27+IF(E31,1,0))</f>
        <v>1</v>
      </c>
      <c r="D1" s="92" t="s">
        <v>317</v>
      </c>
      <c r="E1" s="92">
        <f>IF('Project Info'!$C$8="New Hotel",3,3)</f>
        <v>3</v>
      </c>
    </row>
    <row r="2" spans="1:5" ht="42">
      <c r="A2" s="94"/>
      <c r="B2" s="95" t="s">
        <v>55</v>
      </c>
      <c r="C2" s="95"/>
      <c r="D2" s="95"/>
      <c r="E2" s="95" t="s">
        <v>54</v>
      </c>
    </row>
    <row r="3" spans="1:5" ht="18" customHeight="1">
      <c r="A3" s="94"/>
      <c r="B3" s="405" t="s">
        <v>5</v>
      </c>
      <c r="C3" s="97"/>
      <c r="D3" s="831" t="str">
        <f>HYPERLINK("#'Checklist'!A1","Go To Checklist")</f>
        <v>Go To Checklist</v>
      </c>
      <c r="E3" s="831"/>
    </row>
    <row r="4" spans="1:5" ht="51" customHeight="1">
      <c r="A4" s="94"/>
      <c r="B4" s="533" t="s">
        <v>710</v>
      </c>
      <c r="C4" s="534"/>
      <c r="D4" s="534"/>
      <c r="E4" s="535"/>
    </row>
    <row r="5" spans="1:5" ht="15.6">
      <c r="A5" s="94"/>
      <c r="B5" s="528" t="s">
        <v>1554</v>
      </c>
      <c r="C5" s="528"/>
      <c r="D5" s="528"/>
      <c r="E5" s="528"/>
    </row>
    <row r="6" spans="1:5">
      <c r="A6" s="94"/>
      <c r="B6" s="228" t="s">
        <v>594</v>
      </c>
      <c r="C6" s="228" t="s">
        <v>285</v>
      </c>
      <c r="D6" s="228"/>
      <c r="E6" s="228"/>
    </row>
    <row r="7" spans="1:5">
      <c r="A7" s="94"/>
      <c r="B7" s="370" t="s">
        <v>1469</v>
      </c>
      <c r="C7" s="370" t="s">
        <v>1470</v>
      </c>
      <c r="D7" s="796" t="s">
        <v>1472</v>
      </c>
      <c r="E7" s="796"/>
    </row>
    <row r="8" spans="1:5">
      <c r="A8" s="94"/>
      <c r="B8" s="383"/>
      <c r="C8" s="406" t="s">
        <v>1471</v>
      </c>
      <c r="D8" s="826" t="str">
        <f>IF(C8="Electric","✓","")</f>
        <v>✓</v>
      </c>
      <c r="E8" s="826"/>
    </row>
    <row r="9" spans="1:5" ht="13.95" customHeight="1">
      <c r="A9" s="94"/>
      <c r="B9" s="383"/>
      <c r="C9" s="406" t="s">
        <v>1473</v>
      </c>
      <c r="D9" s="826" t="str">
        <f t="shared" ref="D9:D19" si="0">IF(C9="Electric","✓","")</f>
        <v/>
      </c>
      <c r="E9" s="826"/>
    </row>
    <row r="10" spans="1:5" ht="15" customHeight="1">
      <c r="A10" s="94"/>
      <c r="B10" s="383"/>
      <c r="C10" s="406"/>
      <c r="D10" s="826" t="str">
        <f t="shared" si="0"/>
        <v/>
      </c>
      <c r="E10" s="826"/>
    </row>
    <row r="11" spans="1:5" ht="13.2" customHeight="1">
      <c r="A11" s="94"/>
      <c r="B11" s="407"/>
      <c r="C11" s="406"/>
      <c r="D11" s="826" t="str">
        <f t="shared" si="0"/>
        <v/>
      </c>
      <c r="E11" s="826"/>
    </row>
    <row r="12" spans="1:5">
      <c r="A12" s="94"/>
      <c r="B12" s="383"/>
      <c r="C12" s="406"/>
      <c r="D12" s="826" t="str">
        <f t="shared" si="0"/>
        <v/>
      </c>
      <c r="E12" s="826"/>
    </row>
    <row r="13" spans="1:5" ht="13.95" customHeight="1">
      <c r="A13" s="94"/>
      <c r="B13" s="383"/>
      <c r="C13" s="406"/>
      <c r="D13" s="826" t="str">
        <f t="shared" si="0"/>
        <v/>
      </c>
      <c r="E13" s="826"/>
    </row>
    <row r="14" spans="1:5" ht="13.95" customHeight="1">
      <c r="A14" s="94"/>
      <c r="B14" s="383"/>
      <c r="C14" s="406"/>
      <c r="D14" s="826" t="str">
        <f t="shared" si="0"/>
        <v/>
      </c>
      <c r="E14" s="826"/>
    </row>
    <row r="15" spans="1:5" ht="13.95" customHeight="1">
      <c r="A15" s="94"/>
      <c r="B15" s="383"/>
      <c r="C15" s="406"/>
      <c r="D15" s="826" t="str">
        <f t="shared" si="0"/>
        <v/>
      </c>
      <c r="E15" s="826"/>
    </row>
    <row r="16" spans="1:5" ht="13.95" customHeight="1">
      <c r="A16" s="94"/>
      <c r="B16" s="383"/>
      <c r="C16" s="406"/>
      <c r="D16" s="826" t="str">
        <f t="shared" si="0"/>
        <v/>
      </c>
      <c r="E16" s="826"/>
    </row>
    <row r="17" spans="1:5" ht="13.95" customHeight="1">
      <c r="A17" s="94"/>
      <c r="B17" s="383"/>
      <c r="C17" s="406"/>
      <c r="D17" s="826" t="str">
        <f t="shared" si="0"/>
        <v/>
      </c>
      <c r="E17" s="826"/>
    </row>
    <row r="18" spans="1:5" ht="13.95" customHeight="1">
      <c r="A18" s="94"/>
      <c r="B18" s="383"/>
      <c r="C18" s="406"/>
      <c r="D18" s="826" t="str">
        <f t="shared" si="0"/>
        <v/>
      </c>
      <c r="E18" s="826"/>
    </row>
    <row r="19" spans="1:5" ht="18" customHeight="1">
      <c r="A19" s="94"/>
      <c r="B19" s="383"/>
      <c r="C19" s="406"/>
      <c r="D19" s="826" t="str">
        <f t="shared" si="0"/>
        <v/>
      </c>
      <c r="E19" s="826"/>
    </row>
    <row r="20" spans="1:5" ht="18" customHeight="1">
      <c r="A20" s="94"/>
      <c r="B20" s="408" t="s">
        <v>940</v>
      </c>
      <c r="C20" s="829" t="s">
        <v>622</v>
      </c>
      <c r="D20" s="829"/>
      <c r="E20" s="409" t="s">
        <v>829</v>
      </c>
    </row>
    <row r="21" spans="1:5" ht="18" customHeight="1">
      <c r="A21" s="94"/>
      <c r="B21" s="383" t="s">
        <v>593</v>
      </c>
      <c r="C21" s="785" t="s">
        <v>177</v>
      </c>
      <c r="D21" s="785"/>
      <c r="E21" s="384">
        <f>COUNTIF(B8:INDEX(B:B,MATCH("Parameters",B:B,0)-1),"&lt;&gt;")</f>
        <v>0</v>
      </c>
    </row>
    <row r="22" spans="1:5" ht="18" customHeight="1">
      <c r="A22" s="94"/>
      <c r="B22" s="365" t="s">
        <v>320</v>
      </c>
      <c r="C22" s="830" t="s">
        <v>177</v>
      </c>
      <c r="D22" s="830"/>
      <c r="E22" s="384">
        <f>COUNTIF(D8:D19,"✓")</f>
        <v>1</v>
      </c>
    </row>
    <row r="23" spans="1:5" ht="30.6" customHeight="1">
      <c r="A23" s="94"/>
      <c r="B23" s="365" t="s">
        <v>595</v>
      </c>
      <c r="C23" s="830"/>
      <c r="D23" s="830"/>
      <c r="E23" s="385">
        <f>IFERROR(E22/#REF!,0)</f>
        <v>0</v>
      </c>
    </row>
    <row r="24" spans="1:5" ht="30" customHeight="1">
      <c r="A24" s="94"/>
      <c r="B24" s="410" t="s">
        <v>585</v>
      </c>
      <c r="C24" s="128"/>
      <c r="D24" s="128"/>
      <c r="E24" s="121"/>
    </row>
    <row r="25" spans="1:5" ht="22.8" customHeight="1">
      <c r="A25" s="94"/>
      <c r="B25" s="583" t="s">
        <v>1477</v>
      </c>
      <c r="C25" s="583"/>
      <c r="D25" s="583"/>
      <c r="E25" s="583"/>
    </row>
    <row r="26" spans="1:5" ht="13.95" customHeight="1">
      <c r="A26" s="94"/>
      <c r="B26" s="583" t="s">
        <v>1478</v>
      </c>
      <c r="C26" s="583"/>
      <c r="D26" s="583"/>
      <c r="E26" s="583"/>
    </row>
    <row r="27" spans="1:5" ht="16.2" customHeight="1">
      <c r="A27" s="94"/>
      <c r="B27" s="145" t="s">
        <v>329</v>
      </c>
      <c r="C27" s="124" t="s">
        <v>1476</v>
      </c>
      <c r="D27" s="146" t="s">
        <v>603</v>
      </c>
      <c r="E27" s="14">
        <f>IF(E23&gt;=50%,2,0)</f>
        <v>0</v>
      </c>
    </row>
    <row r="28" spans="1:5" ht="31.2" customHeight="1">
      <c r="A28" s="94"/>
      <c r="B28" s="616" t="s">
        <v>970</v>
      </c>
      <c r="C28" s="616"/>
      <c r="D28" s="616"/>
      <c r="E28" s="616"/>
    </row>
    <row r="29" spans="1:5" ht="28.8" customHeight="1">
      <c r="A29" s="94"/>
      <c r="B29" s="827" t="s">
        <v>596</v>
      </c>
      <c r="C29" s="827"/>
      <c r="D29" s="233"/>
      <c r="E29" s="233"/>
    </row>
    <row r="30" spans="1:5" ht="17.399999999999999">
      <c r="A30" s="94"/>
      <c r="B30" s="828" t="s">
        <v>597</v>
      </c>
      <c r="C30" s="828"/>
      <c r="D30" s="828"/>
      <c r="E30" s="412" t="s">
        <v>134</v>
      </c>
    </row>
    <row r="31" spans="1:5" ht="27.6">
      <c r="A31" s="94"/>
      <c r="B31" s="145" t="s">
        <v>329</v>
      </c>
      <c r="C31" s="124" t="s">
        <v>1486</v>
      </c>
      <c r="D31" s="146" t="s">
        <v>603</v>
      </c>
      <c r="E31" s="14">
        <f>IF(E30="☑",1,0)</f>
        <v>1</v>
      </c>
    </row>
    <row r="32" spans="1:5" ht="17.399999999999999">
      <c r="B32" s="104"/>
      <c r="C32" s="104"/>
      <c r="D32" s="104"/>
      <c r="E32" s="310"/>
    </row>
    <row r="33" spans="1:5">
      <c r="B33" s="539" t="s">
        <v>55</v>
      </c>
      <c r="C33" s="539"/>
      <c r="D33" s="275" t="s">
        <v>189</v>
      </c>
      <c r="E33" s="8">
        <f>C1</f>
        <v>1</v>
      </c>
    </row>
    <row r="34" spans="1:5" ht="14.4">
      <c r="A34" s="103"/>
      <c r="B34" s="97"/>
      <c r="C34" s="97"/>
      <c r="D34" s="97"/>
      <c r="E34" s="97"/>
    </row>
    <row r="35" spans="1:5" ht="14.4">
      <c r="A35" s="103"/>
      <c r="B35" s="537" t="s">
        <v>146</v>
      </c>
      <c r="C35" s="537"/>
      <c r="D35" s="537"/>
      <c r="E35" s="537"/>
    </row>
    <row r="36" spans="1:5" ht="14.4">
      <c r="A36" s="103"/>
      <c r="B36" s="92" t="s">
        <v>594</v>
      </c>
      <c r="C36" s="92"/>
      <c r="D36" s="92"/>
      <c r="E36" s="92"/>
    </row>
    <row r="37" spans="1:5" ht="15.6" customHeight="1">
      <c r="A37" s="103"/>
      <c r="B37" s="538" t="s">
        <v>1479</v>
      </c>
      <c r="C37" s="538"/>
      <c r="D37" s="538"/>
      <c r="E37" s="101" t="s">
        <v>139</v>
      </c>
    </row>
    <row r="38" spans="1:5" ht="17.399999999999999">
      <c r="A38" s="103"/>
      <c r="B38" s="560" t="s">
        <v>1480</v>
      </c>
      <c r="C38" s="560"/>
      <c r="D38" s="560"/>
      <c r="E38" s="101" t="s">
        <v>139</v>
      </c>
    </row>
    <row r="39" spans="1:5" ht="17.399999999999999">
      <c r="A39" s="103"/>
      <c r="B39" s="560" t="s">
        <v>1481</v>
      </c>
      <c r="C39" s="560"/>
      <c r="D39" s="560"/>
      <c r="E39" s="101" t="s">
        <v>139</v>
      </c>
    </row>
    <row r="40" spans="1:5" ht="17.399999999999999">
      <c r="A40" s="103"/>
      <c r="B40" s="581" t="s">
        <v>1482</v>
      </c>
      <c r="C40" s="581"/>
      <c r="D40" s="104"/>
      <c r="E40" s="101"/>
    </row>
    <row r="41" spans="1:5" ht="17.399999999999999">
      <c r="A41" s="103"/>
      <c r="B41" s="538" t="s">
        <v>1483</v>
      </c>
      <c r="C41" s="538"/>
      <c r="D41" s="538"/>
      <c r="E41" s="101" t="s">
        <v>139</v>
      </c>
    </row>
    <row r="42" spans="1:5" ht="17.399999999999999">
      <c r="A42" s="103"/>
      <c r="B42" s="560" t="s">
        <v>1484</v>
      </c>
      <c r="C42" s="560"/>
      <c r="D42" s="560"/>
      <c r="E42" s="101" t="s">
        <v>139</v>
      </c>
    </row>
    <row r="43" spans="1:5" ht="17.399999999999999">
      <c r="A43" s="103"/>
      <c r="B43" s="560" t="s">
        <v>1485</v>
      </c>
      <c r="C43" s="560"/>
      <c r="D43" s="560"/>
      <c r="E43" s="101" t="s">
        <v>139</v>
      </c>
    </row>
    <row r="44" spans="1:5" ht="14.4">
      <c r="A44" s="103"/>
      <c r="B44" s="531" t="s">
        <v>147</v>
      </c>
      <c r="C44" s="531"/>
      <c r="D44" s="531"/>
      <c r="E44" s="531"/>
    </row>
    <row r="45" spans="1:5">
      <c r="B45" s="97"/>
      <c r="C45" s="97"/>
      <c r="D45" s="97"/>
      <c r="E45" s="97"/>
    </row>
    <row r="46" spans="1:5">
      <c r="B46" s="97"/>
      <c r="C46" s="97"/>
      <c r="D46" s="97"/>
      <c r="E46" s="97"/>
    </row>
    <row r="47" spans="1:5">
      <c r="B47" s="97"/>
      <c r="C47" s="97"/>
      <c r="D47" s="97"/>
      <c r="E47" s="97"/>
    </row>
    <row r="48" spans="1:5">
      <c r="B48" s="97"/>
      <c r="C48" s="97"/>
      <c r="D48" s="97"/>
      <c r="E48" s="97"/>
    </row>
  </sheetData>
  <mergeCells count="35">
    <mergeCell ref="B35:E35"/>
    <mergeCell ref="B44:E44"/>
    <mergeCell ref="B37:D37"/>
    <mergeCell ref="B41:D41"/>
    <mergeCell ref="B38:D38"/>
    <mergeCell ref="B39:D39"/>
    <mergeCell ref="B42:D42"/>
    <mergeCell ref="B43:D43"/>
    <mergeCell ref="B40:C40"/>
    <mergeCell ref="D3:E3"/>
    <mergeCell ref="D19:E19"/>
    <mergeCell ref="B28:E28"/>
    <mergeCell ref="B25:E25"/>
    <mergeCell ref="B26:E26"/>
    <mergeCell ref="D15:E15"/>
    <mergeCell ref="D16:E16"/>
    <mergeCell ref="D7:E7"/>
    <mergeCell ref="D8:E8"/>
    <mergeCell ref="D9:E9"/>
    <mergeCell ref="D10:E10"/>
    <mergeCell ref="D11:E11"/>
    <mergeCell ref="D17:E17"/>
    <mergeCell ref="D12:E12"/>
    <mergeCell ref="D13:E13"/>
    <mergeCell ref="D14:E14"/>
    <mergeCell ref="D18:E18"/>
    <mergeCell ref="B4:E4"/>
    <mergeCell ref="B5:E5"/>
    <mergeCell ref="B33:C33"/>
    <mergeCell ref="B29:C29"/>
    <mergeCell ref="B30:D30"/>
    <mergeCell ref="C20:D20"/>
    <mergeCell ref="C21:D21"/>
    <mergeCell ref="C22:D22"/>
    <mergeCell ref="C23:D23"/>
  </mergeCells>
  <dataValidations count="3">
    <dataValidation type="decimal" sqref="C1" xr:uid="{00000000-0002-0000-1800-000000000000}">
      <formula1>0</formula1>
      <formula2>3</formula2>
    </dataValidation>
    <dataValidation type="list" sqref="A1 E37:E43 E30 E32" xr:uid="{00000000-0002-0000-1800-000001000000}">
      <formula1>"☐,☑"</formula1>
    </dataValidation>
    <dataValidation type="list" allowBlank="1" showInputMessage="1" showErrorMessage="1" sqref="C8:C19" xr:uid="{C15D2790-0098-4D4D-B595-68D580C0938B}">
      <formula1>"Electric, Gas"</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77825" r:id="rId3" name="Button 1">
              <controlPr defaultSize="0" print="0" autoFill="0" autoPict="0" macro="[0]!Add_Cooking_Row">
                <anchor moveWithCells="1" sizeWithCells="1">
                  <from>
                    <xdr:col>0</xdr:col>
                    <xdr:colOff>22860</xdr:colOff>
                    <xdr:row>17</xdr:row>
                    <xdr:rowOff>167640</xdr:rowOff>
                  </from>
                  <to>
                    <xdr:col>1</xdr:col>
                    <xdr:colOff>0</xdr:colOff>
                    <xdr:row>19</xdr:row>
                    <xdr:rowOff>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H47"/>
  <sheetViews>
    <sheetView zoomScaleNormal="100" workbookViewId="0">
      <selection activeCell="J32" sqref="J32"/>
    </sheetView>
  </sheetViews>
  <sheetFormatPr defaultRowHeight="13.8"/>
  <cols>
    <col min="1" max="1" width="14.19921875" style="93" customWidth="1"/>
    <col min="2" max="2" width="22.3984375" style="93" customWidth="1"/>
    <col min="3" max="3" width="21.3984375" style="93" customWidth="1"/>
    <col min="4" max="4" width="16.8984375" style="93" customWidth="1"/>
    <col min="5" max="5" width="12.19921875" style="93" customWidth="1"/>
    <col min="6" max="7" width="12.3984375" style="93" customWidth="1"/>
    <col min="8" max="8" width="15.5" style="93" customWidth="1"/>
    <col min="9" max="16384" width="8.796875" style="93"/>
  </cols>
  <sheetData>
    <row r="1" spans="1:8" ht="17.399999999999999" customHeight="1">
      <c r="A1" s="91" t="s">
        <v>134</v>
      </c>
      <c r="B1" s="92" t="s">
        <v>163</v>
      </c>
      <c r="C1" s="832">
        <f>H31</f>
        <v>0</v>
      </c>
      <c r="D1" s="832"/>
      <c r="E1" s="707" t="s">
        <v>317</v>
      </c>
      <c r="F1" s="707"/>
      <c r="G1" s="707">
        <v>1</v>
      </c>
      <c r="H1" s="707"/>
    </row>
    <row r="2" spans="1:8" ht="21" customHeight="1">
      <c r="A2" s="94"/>
      <c r="B2" s="532" t="s">
        <v>57</v>
      </c>
      <c r="C2" s="532"/>
      <c r="D2" s="95"/>
      <c r="E2" s="95"/>
      <c r="F2" s="95"/>
      <c r="G2" s="757" t="s">
        <v>56</v>
      </c>
      <c r="H2" s="757"/>
    </row>
    <row r="3" spans="1:8" ht="15.6" customHeight="1">
      <c r="A3" s="94"/>
      <c r="B3" s="96" t="s">
        <v>5</v>
      </c>
      <c r="C3" s="97"/>
      <c r="D3" s="97"/>
      <c r="E3" s="97"/>
      <c r="F3" s="97"/>
      <c r="G3" s="97"/>
      <c r="H3" s="97" t="str">
        <f>HYPERLINK("#'Checklist'!A1","Go To Checklist")</f>
        <v>Go To Checklist</v>
      </c>
    </row>
    <row r="4" spans="1:8" ht="57.6" customHeight="1">
      <c r="A4" s="94"/>
      <c r="B4" s="533" t="s">
        <v>710</v>
      </c>
      <c r="C4" s="534"/>
      <c r="D4" s="534"/>
      <c r="E4" s="534"/>
      <c r="F4" s="534"/>
      <c r="G4" s="534"/>
      <c r="H4" s="535"/>
    </row>
    <row r="5" spans="1:8" ht="15.6" customHeight="1">
      <c r="A5" s="94"/>
      <c r="B5" s="528" t="s">
        <v>1554</v>
      </c>
      <c r="C5" s="528"/>
      <c r="D5" s="528"/>
      <c r="E5" s="528"/>
      <c r="F5" s="528"/>
      <c r="G5" s="528"/>
      <c r="H5" s="528"/>
    </row>
    <row r="6" spans="1:8" ht="18.600000000000001" customHeight="1">
      <c r="A6" s="94"/>
      <c r="B6" s="692" t="s">
        <v>598</v>
      </c>
      <c r="C6" s="692"/>
      <c r="D6" s="692"/>
      <c r="E6" s="692"/>
      <c r="F6" s="692"/>
      <c r="G6" s="692"/>
      <c r="H6" s="692"/>
    </row>
    <row r="7" spans="1:8" ht="30.45" customHeight="1">
      <c r="A7" s="94"/>
      <c r="B7" s="774" t="s">
        <v>599</v>
      </c>
      <c r="C7" s="774"/>
      <c r="D7" s="774"/>
      <c r="E7" s="774"/>
      <c r="F7" s="774"/>
      <c r="G7" s="774"/>
      <c r="H7" s="774"/>
    </row>
    <row r="8" spans="1:8" ht="30.45" customHeight="1">
      <c r="A8" s="94"/>
      <c r="B8" s="361" t="s">
        <v>1487</v>
      </c>
      <c r="C8" s="361" t="s">
        <v>1488</v>
      </c>
      <c r="D8" s="361" t="s">
        <v>1489</v>
      </c>
      <c r="E8" s="361" t="s">
        <v>1490</v>
      </c>
      <c r="F8" s="361" t="s">
        <v>1491</v>
      </c>
      <c r="G8" s="361" t="s">
        <v>1492</v>
      </c>
      <c r="H8" s="361" t="s">
        <v>1493</v>
      </c>
    </row>
    <row r="9" spans="1:8" ht="30.45" customHeight="1">
      <c r="A9" s="94"/>
      <c r="B9" s="362"/>
      <c r="C9" s="413" t="s">
        <v>322</v>
      </c>
      <c r="D9" s="414">
        <v>0.16</v>
      </c>
      <c r="E9" s="414">
        <v>0.4</v>
      </c>
      <c r="F9" s="414">
        <v>0.13</v>
      </c>
      <c r="G9" s="414">
        <v>0.18</v>
      </c>
      <c r="H9" s="364" t="str">
        <f>IF(COUNTA(C9:G9)=0,"",IF(OR(C9="",D9="",E9="",F9="",G9=""),"Pending",IF(AND(D9&lt;=_xlfn.XLOOKUP(C9,$B$20:$B$26,$C$20:$C$26),E9&lt;=_xlfn.XLOOKUP(C9,$B$20:$B$26,$D$20:$D$26),F9&lt;=_xlfn.XLOOKUP(C9,$B$20:$B$26,$E$20:$E$26),G9&lt;=_xlfn.XLOOKUP(C9,$B$20:$B$26,$F$20:$F$26)),"Compliant","Not Compliant")))</f>
        <v>Compliant</v>
      </c>
    </row>
    <row r="10" spans="1:8" ht="30.45" customHeight="1">
      <c r="A10" s="94"/>
      <c r="B10" s="362"/>
      <c r="C10" s="413"/>
      <c r="D10" s="414"/>
      <c r="E10" s="414"/>
      <c r="F10" s="414"/>
      <c r="G10" s="414"/>
      <c r="H10" s="364" t="str">
        <f t="shared" ref="H10:H18" si="0">IF(COUNTA(C10:G10)=0,"",IF(OR(C10="",D10="",E10="",F10="",G10=""),"Pending",IF(AND(D10&lt;=_xlfn.XLOOKUP(C10,$B$20:$B$26,$C$20:$C$26),E10&lt;=_xlfn.XLOOKUP(C10,$B$20:$B$26,$D$20:$D$26),F10&lt;=_xlfn.XLOOKUP(C10,$B$20:$B$26,$E$20:$E$26),G10&lt;=_xlfn.XLOOKUP(C10,$B$20:$B$26,$F$20:$F$26)),"Compliant","Not Compliant")))</f>
        <v/>
      </c>
    </row>
    <row r="11" spans="1:8" ht="30.45" customHeight="1">
      <c r="A11" s="94"/>
      <c r="B11" s="362"/>
      <c r="C11" s="413"/>
      <c r="D11" s="414"/>
      <c r="E11" s="414"/>
      <c r="F11" s="414"/>
      <c r="G11" s="414"/>
      <c r="H11" s="364" t="str">
        <f t="shared" si="0"/>
        <v/>
      </c>
    </row>
    <row r="12" spans="1:8" ht="30.45" customHeight="1">
      <c r="A12" s="94"/>
      <c r="B12" s="362"/>
      <c r="C12" s="413"/>
      <c r="D12" s="414"/>
      <c r="E12" s="414"/>
      <c r="F12" s="414"/>
      <c r="G12" s="414"/>
      <c r="H12" s="364" t="str">
        <f t="shared" si="0"/>
        <v/>
      </c>
    </row>
    <row r="13" spans="1:8" ht="30.45" customHeight="1">
      <c r="A13" s="94"/>
      <c r="B13" s="362"/>
      <c r="C13" s="413"/>
      <c r="D13" s="414"/>
      <c r="E13" s="414"/>
      <c r="F13" s="414"/>
      <c r="G13" s="414"/>
      <c r="H13" s="364" t="str">
        <f t="shared" si="0"/>
        <v/>
      </c>
    </row>
    <row r="14" spans="1:8" ht="30.45" customHeight="1">
      <c r="A14" s="94"/>
      <c r="B14" s="362"/>
      <c r="C14" s="413"/>
      <c r="D14" s="414"/>
      <c r="E14" s="414"/>
      <c r="F14" s="414"/>
      <c r="G14" s="414"/>
      <c r="H14" s="364" t="str">
        <f t="shared" si="0"/>
        <v/>
      </c>
    </row>
    <row r="15" spans="1:8" ht="30.45" customHeight="1">
      <c r="A15" s="94"/>
      <c r="B15" s="362"/>
      <c r="C15" s="413"/>
      <c r="D15" s="414"/>
      <c r="E15" s="414"/>
      <c r="F15" s="414"/>
      <c r="G15" s="414"/>
      <c r="H15" s="364" t="str">
        <f t="shared" si="0"/>
        <v/>
      </c>
    </row>
    <row r="16" spans="1:8" ht="30.45" customHeight="1">
      <c r="A16" s="94"/>
      <c r="B16" s="362"/>
      <c r="C16" s="413"/>
      <c r="D16" s="414"/>
      <c r="E16" s="414"/>
      <c r="F16" s="414"/>
      <c r="G16" s="414"/>
      <c r="H16" s="364" t="str">
        <f t="shared" si="0"/>
        <v/>
      </c>
    </row>
    <row r="17" spans="1:8" ht="30.45" customHeight="1">
      <c r="A17" s="94"/>
      <c r="B17" s="362"/>
      <c r="C17" s="413"/>
      <c r="D17" s="414"/>
      <c r="E17" s="414"/>
      <c r="F17" s="414"/>
      <c r="G17" s="414"/>
      <c r="H17" s="364" t="str">
        <f t="shared" si="0"/>
        <v/>
      </c>
    </row>
    <row r="18" spans="1:8" ht="30.45" customHeight="1">
      <c r="A18" s="94"/>
      <c r="B18" s="362"/>
      <c r="C18" s="413"/>
      <c r="D18" s="414"/>
      <c r="E18" s="414"/>
      <c r="F18" s="414"/>
      <c r="G18" s="414"/>
      <c r="H18" s="364" t="str">
        <f t="shared" si="0"/>
        <v/>
      </c>
    </row>
    <row r="19" spans="1:8" ht="27.6">
      <c r="A19" s="94"/>
      <c r="B19" s="415" t="s">
        <v>321</v>
      </c>
      <c r="C19" s="415" t="s">
        <v>1489</v>
      </c>
      <c r="D19" s="415" t="s">
        <v>1490</v>
      </c>
      <c r="E19" s="415" t="s">
        <v>1491</v>
      </c>
      <c r="F19" s="415" t="s">
        <v>1492</v>
      </c>
      <c r="G19" s="92"/>
      <c r="H19" s="92"/>
    </row>
    <row r="20" spans="1:8">
      <c r="A20" s="94"/>
      <c r="B20" s="362" t="s">
        <v>322</v>
      </c>
      <c r="C20" s="362">
        <v>0.17</v>
      </c>
      <c r="D20" s="362">
        <v>0.47</v>
      </c>
      <c r="E20" s="362">
        <v>0.14000000000000001</v>
      </c>
      <c r="F20" s="362">
        <v>0.2</v>
      </c>
      <c r="G20" s="97"/>
      <c r="H20" s="97"/>
    </row>
    <row r="21" spans="1:8">
      <c r="A21" s="94"/>
      <c r="B21" s="362" t="s">
        <v>323</v>
      </c>
      <c r="C21" s="362">
        <v>0.21</v>
      </c>
      <c r="D21" s="362">
        <v>0.47</v>
      </c>
      <c r="E21" s="362">
        <v>0.17</v>
      </c>
      <c r="F21" s="362">
        <v>0.23</v>
      </c>
      <c r="G21" s="97"/>
      <c r="H21" s="97"/>
    </row>
    <row r="22" spans="1:8">
      <c r="A22" s="94"/>
      <c r="B22" s="362" t="s">
        <v>324</v>
      </c>
      <c r="C22" s="362">
        <v>0.23</v>
      </c>
      <c r="D22" s="362">
        <v>0.47</v>
      </c>
      <c r="E22" s="362">
        <v>0.21</v>
      </c>
      <c r="F22" s="362">
        <v>0.27</v>
      </c>
      <c r="G22" s="97"/>
      <c r="H22" s="97"/>
    </row>
    <row r="23" spans="1:8" ht="17.55" customHeight="1">
      <c r="A23" s="94"/>
      <c r="B23" s="362" t="s">
        <v>325</v>
      </c>
      <c r="C23" s="362">
        <v>0.27</v>
      </c>
      <c r="D23" s="362">
        <v>0.57999999999999996</v>
      </c>
      <c r="E23" s="362">
        <v>0.24</v>
      </c>
      <c r="F23" s="362">
        <v>0.28999999999999998</v>
      </c>
      <c r="G23" s="97"/>
      <c r="H23" s="97"/>
    </row>
    <row r="24" spans="1:8" ht="17.399999999999999" customHeight="1">
      <c r="A24" s="94"/>
      <c r="B24" s="362" t="s">
        <v>326</v>
      </c>
      <c r="C24" s="362">
        <v>0.35</v>
      </c>
      <c r="D24" s="362">
        <v>0.93</v>
      </c>
      <c r="E24" s="362">
        <v>0.28999999999999998</v>
      </c>
      <c r="F24" s="362">
        <v>0.47</v>
      </c>
      <c r="G24" s="97"/>
      <c r="H24" s="97"/>
    </row>
    <row r="25" spans="1:8" ht="69" customHeight="1">
      <c r="A25" s="94"/>
      <c r="B25" s="362" t="s">
        <v>327</v>
      </c>
      <c r="C25" s="362">
        <v>0.47</v>
      </c>
      <c r="D25" s="362">
        <v>0.93</v>
      </c>
      <c r="E25" s="362">
        <v>0.28999999999999998</v>
      </c>
      <c r="F25" s="362">
        <v>0.64</v>
      </c>
      <c r="G25" s="97"/>
      <c r="H25" s="97"/>
    </row>
    <row r="26" spans="1:8" ht="13.95" customHeight="1">
      <c r="A26" s="94"/>
      <c r="B26" s="362" t="s">
        <v>328</v>
      </c>
      <c r="C26" s="362">
        <v>1.28</v>
      </c>
      <c r="D26" s="362">
        <v>1.47</v>
      </c>
      <c r="E26" s="362">
        <v>1.05</v>
      </c>
      <c r="F26" s="362">
        <v>1.36</v>
      </c>
      <c r="G26" s="97"/>
      <c r="H26" s="97"/>
    </row>
    <row r="27" spans="1:8" ht="28.2" customHeight="1">
      <c r="A27" s="94"/>
      <c r="B27" s="833" t="s">
        <v>600</v>
      </c>
      <c r="C27" s="833"/>
      <c r="D27" s="416"/>
      <c r="E27" s="416"/>
      <c r="F27" s="416"/>
      <c r="G27" s="416"/>
      <c r="H27" s="416"/>
    </row>
    <row r="28" spans="1:8" ht="13.8" customHeight="1">
      <c r="A28" s="94"/>
      <c r="B28" s="529" t="s">
        <v>601</v>
      </c>
      <c r="C28" s="529"/>
      <c r="D28" s="529"/>
      <c r="E28" s="529"/>
      <c r="F28" s="529"/>
      <c r="G28" s="529"/>
      <c r="H28" s="529"/>
    </row>
    <row r="29" spans="1:8" ht="41.4">
      <c r="A29" s="94"/>
      <c r="B29" s="417" t="s">
        <v>1494</v>
      </c>
      <c r="C29" s="834"/>
      <c r="D29" s="835"/>
      <c r="E29" s="835"/>
      <c r="F29" s="835"/>
      <c r="G29" s="836"/>
      <c r="H29" s="345" t="s">
        <v>139</v>
      </c>
    </row>
    <row r="30" spans="1:8" ht="13.95" customHeight="1">
      <c r="A30" s="94"/>
      <c r="B30" s="837"/>
      <c r="C30" s="837"/>
      <c r="D30" s="837"/>
      <c r="E30" s="837"/>
      <c r="F30" s="837"/>
      <c r="G30" s="837"/>
      <c r="H30" s="837"/>
    </row>
    <row r="31" spans="1:8" ht="29.4" customHeight="1">
      <c r="A31" s="94"/>
      <c r="B31" s="145" t="s">
        <v>329</v>
      </c>
      <c r="C31" s="585" t="s">
        <v>1495</v>
      </c>
      <c r="D31" s="585"/>
      <c r="E31" s="585"/>
      <c r="F31" s="611" t="s">
        <v>603</v>
      </c>
      <c r="G31" s="611"/>
      <c r="H31" s="14">
        <f>IF(AND(COUNTIF(H9:H18,"Compliant")=COUNTIF(H9:H18,"&lt;&gt;"),H29="☑"),1,0)</f>
        <v>0</v>
      </c>
    </row>
    <row r="32" spans="1:8" ht="30" customHeight="1">
      <c r="A32" s="103"/>
      <c r="B32" s="275" t="s">
        <v>57</v>
      </c>
      <c r="C32" s="275"/>
      <c r="D32" s="275" t="s">
        <v>189</v>
      </c>
      <c r="E32" s="275"/>
      <c r="F32" s="275"/>
      <c r="G32" s="275"/>
      <c r="H32" s="8">
        <f>C1</f>
        <v>0</v>
      </c>
    </row>
    <row r="33" spans="1:8" ht="30" customHeight="1">
      <c r="A33" s="103"/>
      <c r="B33" s="97"/>
      <c r="C33" s="97"/>
      <c r="D33" s="97"/>
      <c r="E33" s="97"/>
      <c r="F33" s="97"/>
      <c r="G33" s="97"/>
      <c r="H33" s="97"/>
    </row>
    <row r="34" spans="1:8" ht="20.399999999999999" customHeight="1">
      <c r="A34" s="103"/>
      <c r="B34" s="537" t="s">
        <v>146</v>
      </c>
      <c r="C34" s="537"/>
      <c r="D34" s="537"/>
      <c r="E34" s="537"/>
      <c r="F34" s="537"/>
      <c r="G34" s="537"/>
      <c r="H34" s="537"/>
    </row>
    <row r="35" spans="1:8" ht="17.399999999999999" customHeight="1">
      <c r="A35" s="103"/>
      <c r="B35" s="581" t="s">
        <v>598</v>
      </c>
      <c r="C35" s="581"/>
      <c r="D35" s="92"/>
      <c r="E35" s="92"/>
      <c r="F35" s="92"/>
      <c r="G35" s="92"/>
      <c r="H35" s="92"/>
    </row>
    <row r="36" spans="1:8" ht="17.399999999999999" customHeight="1">
      <c r="A36" s="103"/>
      <c r="B36" s="560" t="s">
        <v>1505</v>
      </c>
      <c r="C36" s="560"/>
      <c r="D36" s="560"/>
      <c r="E36" s="560"/>
      <c r="F36" s="560"/>
      <c r="G36" s="560"/>
      <c r="H36" s="101" t="s">
        <v>139</v>
      </c>
    </row>
    <row r="37" spans="1:8" ht="18.600000000000001" customHeight="1">
      <c r="A37" s="103"/>
      <c r="B37" s="560" t="s">
        <v>1506</v>
      </c>
      <c r="C37" s="560"/>
      <c r="D37" s="560"/>
      <c r="E37" s="560"/>
      <c r="F37" s="560"/>
      <c r="G37" s="560"/>
      <c r="H37" s="101" t="s">
        <v>139</v>
      </c>
    </row>
    <row r="38" spans="1:8" ht="13.95" customHeight="1">
      <c r="A38" s="103"/>
      <c r="B38" s="560" t="s">
        <v>1507</v>
      </c>
      <c r="C38" s="560"/>
      <c r="D38" s="560"/>
      <c r="E38" s="560"/>
      <c r="F38" s="560"/>
      <c r="G38" s="560"/>
      <c r="H38" s="101" t="s">
        <v>139</v>
      </c>
    </row>
    <row r="39" spans="1:8" ht="17.399999999999999">
      <c r="A39" s="103"/>
      <c r="B39" s="560" t="s">
        <v>1508</v>
      </c>
      <c r="C39" s="560"/>
      <c r="D39" s="560"/>
      <c r="E39" s="560"/>
      <c r="F39" s="560"/>
      <c r="G39" s="560"/>
      <c r="H39" s="101" t="s">
        <v>139</v>
      </c>
    </row>
    <row r="40" spans="1:8" ht="17.399999999999999">
      <c r="A40" s="103"/>
      <c r="B40" s="581" t="s">
        <v>600</v>
      </c>
      <c r="C40" s="581"/>
      <c r="D40" s="104"/>
      <c r="E40" s="104"/>
      <c r="F40" s="104"/>
      <c r="G40" s="104"/>
      <c r="H40" s="101"/>
    </row>
    <row r="41" spans="1:8" ht="17.399999999999999">
      <c r="A41" s="103"/>
      <c r="B41" s="560" t="s">
        <v>602</v>
      </c>
      <c r="C41" s="560"/>
      <c r="D41" s="560"/>
      <c r="E41" s="560"/>
      <c r="F41" s="560"/>
      <c r="G41" s="560"/>
      <c r="H41" s="101" t="s">
        <v>139</v>
      </c>
    </row>
    <row r="42" spans="1:8">
      <c r="A42" s="94"/>
      <c r="B42" s="531" t="s">
        <v>147</v>
      </c>
      <c r="C42" s="531"/>
      <c r="D42" s="531"/>
      <c r="E42" s="531"/>
      <c r="F42" s="531"/>
      <c r="G42" s="531"/>
      <c r="H42" s="531"/>
    </row>
    <row r="43" spans="1:8">
      <c r="A43" s="94"/>
      <c r="B43" s="632"/>
      <c r="C43" s="632"/>
      <c r="D43" s="632"/>
      <c r="E43" s="632"/>
      <c r="F43" s="632"/>
      <c r="G43" s="632"/>
      <c r="H43" s="632"/>
    </row>
    <row r="44" spans="1:8">
      <c r="B44" s="632"/>
      <c r="C44" s="632"/>
      <c r="D44" s="632"/>
      <c r="E44" s="632"/>
      <c r="F44" s="632"/>
      <c r="G44" s="632"/>
      <c r="H44" s="632"/>
    </row>
    <row r="45" spans="1:8">
      <c r="B45" s="632"/>
      <c r="C45" s="632"/>
      <c r="D45" s="632"/>
      <c r="E45" s="632"/>
      <c r="F45" s="632"/>
      <c r="G45" s="632"/>
      <c r="H45" s="632"/>
    </row>
    <row r="46" spans="1:8">
      <c r="B46" s="97"/>
      <c r="C46" s="97"/>
      <c r="D46" s="97"/>
      <c r="E46" s="97"/>
      <c r="F46" s="97"/>
      <c r="G46" s="97"/>
      <c r="H46" s="97"/>
    </row>
    <row r="47" spans="1:8">
      <c r="B47" s="97"/>
      <c r="C47" s="97"/>
      <c r="D47" s="97"/>
      <c r="E47" s="97"/>
      <c r="F47" s="97"/>
      <c r="G47" s="97"/>
      <c r="H47" s="97"/>
    </row>
  </sheetData>
  <mergeCells count="25">
    <mergeCell ref="B6:H6"/>
    <mergeCell ref="B41:G41"/>
    <mergeCell ref="B35:C35"/>
    <mergeCell ref="B36:G36"/>
    <mergeCell ref="B37:G37"/>
    <mergeCell ref="B38:G38"/>
    <mergeCell ref="B39:G39"/>
    <mergeCell ref="B34:H34"/>
    <mergeCell ref="B30:H30"/>
    <mergeCell ref="B43:H45"/>
    <mergeCell ref="B5:H5"/>
    <mergeCell ref="G1:H1"/>
    <mergeCell ref="E1:F1"/>
    <mergeCell ref="C1:D1"/>
    <mergeCell ref="B4:H4"/>
    <mergeCell ref="B2:C2"/>
    <mergeCell ref="G2:H2"/>
    <mergeCell ref="B42:H42"/>
    <mergeCell ref="B28:H28"/>
    <mergeCell ref="B7:H7"/>
    <mergeCell ref="B27:C27"/>
    <mergeCell ref="B40:C40"/>
    <mergeCell ref="C29:G29"/>
    <mergeCell ref="F31:G31"/>
    <mergeCell ref="C31:E31"/>
  </mergeCells>
  <dataValidations count="4">
    <dataValidation type="decimal" sqref="C1" xr:uid="{00000000-0002-0000-1900-000000000000}">
      <formula1>0</formula1>
      <formula2>1</formula2>
    </dataValidation>
    <dataValidation type="list" sqref="A1 H36:H41 H29" xr:uid="{00000000-0002-0000-1900-000001000000}">
      <formula1>"☐,☑"</formula1>
    </dataValidation>
    <dataValidation sqref="F19 G8:H18" xr:uid="{A704088B-348C-4895-BB12-CCE50DB759CB}"/>
    <dataValidation type="list" allowBlank="1" showInputMessage="1" showErrorMessage="1" sqref="C9:C18" xr:uid="{03E63D1A-C401-41EE-9134-77913BFC35E3}">
      <formula1>$B$20:$B$26</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8849" r:id="rId4" name="Button 1">
              <controlPr defaultSize="0" print="0" autoFill="0" autoPict="0" macro="[0]!Add_ColdRoom_Row">
                <anchor moveWithCells="1" sizeWithCells="1">
                  <from>
                    <xdr:col>0</xdr:col>
                    <xdr:colOff>38100</xdr:colOff>
                    <xdr:row>17</xdr:row>
                    <xdr:rowOff>7620</xdr:rowOff>
                  </from>
                  <to>
                    <xdr:col>0</xdr:col>
                    <xdr:colOff>1059180</xdr:colOff>
                    <xdr:row>17</xdr:row>
                    <xdr:rowOff>335280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E62"/>
  <sheetViews>
    <sheetView topLeftCell="A25" zoomScale="80" zoomScaleNormal="80" workbookViewId="0">
      <selection activeCell="H39" sqref="H39"/>
    </sheetView>
  </sheetViews>
  <sheetFormatPr defaultRowHeight="13.8"/>
  <cols>
    <col min="1" max="1" width="6" style="93" customWidth="1"/>
    <col min="2" max="2" width="39" style="93" customWidth="1"/>
    <col min="3" max="4" width="26" style="93" customWidth="1"/>
    <col min="5" max="5" width="18" style="93" customWidth="1"/>
    <col min="6" max="16384" width="8.796875" style="93"/>
  </cols>
  <sheetData>
    <row r="1" spans="1:5" ht="17.399999999999999">
      <c r="A1" s="91" t="s">
        <v>134</v>
      </c>
      <c r="B1" s="92" t="s">
        <v>163</v>
      </c>
      <c r="C1" s="9">
        <f>SUM(E12+E43)</f>
        <v>0</v>
      </c>
      <c r="D1" s="92" t="s">
        <v>317</v>
      </c>
      <c r="E1" s="92">
        <f>IF('Project Info'!$C$8="New Hotel",2,2)</f>
        <v>2</v>
      </c>
    </row>
    <row r="2" spans="1:5" ht="21">
      <c r="A2" s="94"/>
      <c r="B2" s="95" t="s">
        <v>59</v>
      </c>
      <c r="C2" s="95"/>
      <c r="D2" s="95"/>
      <c r="E2" s="95" t="s">
        <v>58</v>
      </c>
    </row>
    <row r="3" spans="1:5" ht="15.6">
      <c r="A3" s="94"/>
      <c r="B3" s="96" t="s">
        <v>5</v>
      </c>
      <c r="C3" s="97"/>
      <c r="D3" s="97"/>
      <c r="E3" s="97" t="str">
        <f>HYPERLINK("#'Checklist'!A1","Go To Checklist")</f>
        <v>Go To Checklist</v>
      </c>
    </row>
    <row r="4" spans="1:5" ht="47.4" customHeight="1">
      <c r="A4" s="94"/>
      <c r="B4" s="533" t="s">
        <v>710</v>
      </c>
      <c r="C4" s="534"/>
      <c r="D4" s="534"/>
      <c r="E4" s="535"/>
    </row>
    <row r="5" spans="1:5" ht="15.6">
      <c r="A5" s="94"/>
      <c r="B5" s="528" t="s">
        <v>1554</v>
      </c>
      <c r="C5" s="528"/>
      <c r="D5" s="528"/>
      <c r="E5" s="528"/>
    </row>
    <row r="6" spans="1:5" ht="15.6">
      <c r="A6" s="94"/>
      <c r="B6" s="322" t="s">
        <v>604</v>
      </c>
      <c r="C6" s="322"/>
      <c r="D6" s="322"/>
      <c r="E6" s="322"/>
    </row>
    <row r="7" spans="1:5" ht="15.45" customHeight="1">
      <c r="A7" s="94"/>
      <c r="B7" s="839" t="s">
        <v>605</v>
      </c>
      <c r="C7" s="839"/>
      <c r="D7" s="839"/>
      <c r="E7" s="839"/>
    </row>
    <row r="8" spans="1:5" ht="23.4" customHeight="1">
      <c r="A8" s="94"/>
      <c r="B8" s="418" t="s">
        <v>940</v>
      </c>
      <c r="C8" s="693" t="s">
        <v>622</v>
      </c>
      <c r="D8" s="693"/>
      <c r="E8" s="419" t="s">
        <v>829</v>
      </c>
    </row>
    <row r="9" spans="1:5" ht="15.6">
      <c r="A9" s="94"/>
      <c r="B9" s="1013" t="s">
        <v>632</v>
      </c>
      <c r="C9" s="845" t="s">
        <v>633</v>
      </c>
      <c r="D9" s="845"/>
      <c r="E9" s="1024"/>
    </row>
    <row r="10" spans="1:5" ht="16.95" customHeight="1">
      <c r="A10" s="94"/>
      <c r="B10" s="1013" t="s">
        <v>634</v>
      </c>
      <c r="C10" s="845" t="s">
        <v>633</v>
      </c>
      <c r="D10" s="845"/>
      <c r="E10" s="1024"/>
    </row>
    <row r="11" spans="1:5" ht="19.95" customHeight="1">
      <c r="A11" s="94"/>
      <c r="B11" s="1013" t="s">
        <v>635</v>
      </c>
      <c r="C11" s="845" t="s">
        <v>170</v>
      </c>
      <c r="D11" s="845"/>
      <c r="E11" s="444">
        <f>IFERROR(E10/E9,0)</f>
        <v>0</v>
      </c>
    </row>
    <row r="12" spans="1:5" ht="21.6" customHeight="1">
      <c r="A12" s="94"/>
      <c r="B12" s="145" t="s">
        <v>329</v>
      </c>
      <c r="C12" s="124" t="s">
        <v>1511</v>
      </c>
      <c r="D12" s="146" t="s">
        <v>603</v>
      </c>
      <c r="E12" s="14">
        <f>IF(E11&gt;=20%,1,0)</f>
        <v>0</v>
      </c>
    </row>
    <row r="13" spans="1:5" ht="16.2" customHeight="1">
      <c r="A13" s="94"/>
      <c r="B13" s="616" t="s">
        <v>970</v>
      </c>
      <c r="C13" s="616"/>
      <c r="D13" s="616"/>
      <c r="E13" s="616"/>
    </row>
    <row r="14" spans="1:5" ht="18" customHeight="1">
      <c r="A14" s="94"/>
      <c r="B14" s="838" t="s">
        <v>705</v>
      </c>
      <c r="C14" s="838"/>
      <c r="D14" s="97"/>
      <c r="E14" s="310"/>
    </row>
    <row r="15" spans="1:5" ht="31.8" customHeight="1">
      <c r="A15" s="94"/>
      <c r="B15" s="839" t="s">
        <v>606</v>
      </c>
      <c r="C15" s="839"/>
      <c r="D15" s="839"/>
      <c r="E15" s="839"/>
    </row>
    <row r="16" spans="1:5" ht="22.2" customHeight="1">
      <c r="A16" s="94"/>
      <c r="B16" s="418" t="s">
        <v>940</v>
      </c>
      <c r="C16" s="419" t="s">
        <v>329</v>
      </c>
      <c r="D16" s="265" t="s">
        <v>196</v>
      </c>
      <c r="E16" s="265" t="s">
        <v>1414</v>
      </c>
    </row>
    <row r="17" spans="1:5" ht="18" customHeight="1">
      <c r="A17" s="94"/>
      <c r="B17" s="365" t="s">
        <v>330</v>
      </c>
      <c r="C17" s="383" t="s">
        <v>331</v>
      </c>
      <c r="D17" s="1025">
        <v>3.5</v>
      </c>
      <c r="E17" s="998" t="str">
        <f>IF(D17="","",IF(D17&gt;=3.5,"✓","✗"))</f>
        <v>✓</v>
      </c>
    </row>
    <row r="18" spans="1:5" ht="17.399999999999999">
      <c r="A18" s="94"/>
      <c r="B18" s="365" t="s">
        <v>332</v>
      </c>
      <c r="C18" s="383" t="s">
        <v>333</v>
      </c>
      <c r="D18" s="1025">
        <v>5</v>
      </c>
      <c r="E18" s="998" t="str">
        <f t="shared" ref="E18:E19" si="0">IF(D18="","",IF(D18&gt;=3.5,"✓","✗"))</f>
        <v>✓</v>
      </c>
    </row>
    <row r="19" spans="1:5" ht="17.399999999999999">
      <c r="A19" s="94"/>
      <c r="B19" s="365" t="s">
        <v>334</v>
      </c>
      <c r="C19" s="383" t="s">
        <v>335</v>
      </c>
      <c r="D19" s="1025">
        <v>2</v>
      </c>
      <c r="E19" s="998" t="str">
        <f t="shared" si="0"/>
        <v>✗</v>
      </c>
    </row>
    <row r="20" spans="1:5" ht="18" customHeight="1">
      <c r="A20" s="94"/>
      <c r="B20" s="581" t="s">
        <v>607</v>
      </c>
      <c r="C20" s="560"/>
      <c r="D20" s="560"/>
      <c r="E20" s="310"/>
    </row>
    <row r="21" spans="1:5" ht="18" customHeight="1">
      <c r="A21" s="94"/>
      <c r="B21" s="529" t="s">
        <v>608</v>
      </c>
      <c r="C21" s="529"/>
      <c r="D21" s="529"/>
      <c r="E21" s="529"/>
    </row>
    <row r="22" spans="1:5" ht="31.2" customHeight="1">
      <c r="A22" s="94"/>
      <c r="B22" s="370" t="s">
        <v>1509</v>
      </c>
      <c r="C22" s="370" t="s">
        <v>1678</v>
      </c>
      <c r="D22" s="796" t="s">
        <v>1493</v>
      </c>
      <c r="E22" s="796"/>
    </row>
    <row r="23" spans="1:5" ht="24.6" customHeight="1">
      <c r="A23" s="94"/>
      <c r="B23" s="411"/>
      <c r="C23" s="407"/>
      <c r="D23" s="996" t="str">
        <f>IF(C23="","",IF(C23&gt;95,"Compliant","Not Compliant"))</f>
        <v/>
      </c>
      <c r="E23" s="996"/>
    </row>
    <row r="24" spans="1:5" ht="19.2" customHeight="1">
      <c r="A24" s="94"/>
      <c r="B24" s="411"/>
      <c r="C24" s="407"/>
      <c r="D24" s="996" t="str">
        <f t="shared" ref="D24:D30" si="1">IF(C24="","",IF(C24&gt;95,"Compliant","Not Compliant"))</f>
        <v/>
      </c>
      <c r="E24" s="996"/>
    </row>
    <row r="25" spans="1:5" ht="18" customHeight="1">
      <c r="A25" s="94"/>
      <c r="B25" s="411"/>
      <c r="C25" s="407"/>
      <c r="D25" s="996" t="str">
        <f t="shared" si="1"/>
        <v/>
      </c>
      <c r="E25" s="996"/>
    </row>
    <row r="26" spans="1:5" ht="17.399999999999999" customHeight="1">
      <c r="A26" s="94"/>
      <c r="B26" s="411"/>
      <c r="C26" s="407"/>
      <c r="D26" s="996" t="str">
        <f t="shared" si="1"/>
        <v/>
      </c>
      <c r="E26" s="996"/>
    </row>
    <row r="27" spans="1:5" ht="18" customHeight="1">
      <c r="A27" s="94"/>
      <c r="B27" s="411"/>
      <c r="C27" s="407"/>
      <c r="D27" s="996" t="str">
        <f t="shared" si="1"/>
        <v/>
      </c>
      <c r="E27" s="996"/>
    </row>
    <row r="28" spans="1:5" ht="18" customHeight="1">
      <c r="A28" s="94"/>
      <c r="B28" s="411"/>
      <c r="C28" s="407"/>
      <c r="D28" s="996" t="str">
        <f t="shared" si="1"/>
        <v/>
      </c>
      <c r="E28" s="996"/>
    </row>
    <row r="29" spans="1:5" ht="18" customHeight="1">
      <c r="A29" s="94"/>
      <c r="B29" s="411"/>
      <c r="C29" s="407"/>
      <c r="D29" s="996" t="str">
        <f t="shared" si="1"/>
        <v/>
      </c>
      <c r="E29" s="996"/>
    </row>
    <row r="30" spans="1:5" ht="18" customHeight="1">
      <c r="A30" s="94"/>
      <c r="B30" s="411"/>
      <c r="C30" s="407"/>
      <c r="D30" s="996" t="str">
        <f t="shared" si="1"/>
        <v/>
      </c>
      <c r="E30" s="996"/>
    </row>
    <row r="31" spans="1:5" ht="18" customHeight="1">
      <c r="A31" s="94"/>
      <c r="B31" s="581" t="s">
        <v>607</v>
      </c>
      <c r="C31" s="560"/>
      <c r="D31" s="560"/>
      <c r="E31" s="310"/>
    </row>
    <row r="32" spans="1:5" ht="18" customHeight="1">
      <c r="A32" s="94"/>
      <c r="B32" s="529" t="s">
        <v>609</v>
      </c>
      <c r="C32" s="529"/>
      <c r="D32" s="529"/>
      <c r="E32" s="529"/>
    </row>
    <row r="33" spans="1:5" ht="31.2" customHeight="1">
      <c r="A33" s="94"/>
      <c r="B33" s="370" t="s">
        <v>1510</v>
      </c>
      <c r="C33" s="370" t="s">
        <v>1679</v>
      </c>
      <c r="D33" s="796" t="s">
        <v>1493</v>
      </c>
      <c r="E33" s="796"/>
    </row>
    <row r="34" spans="1:5" ht="20.399999999999999" customHeight="1">
      <c r="A34" s="94"/>
      <c r="B34" s="411"/>
      <c r="C34" s="407"/>
      <c r="D34" s="996" t="str">
        <f>IF(C34="","",IF(C34=5,"Compliant","Not Compliant"))</f>
        <v/>
      </c>
      <c r="E34" s="996"/>
    </row>
    <row r="35" spans="1:5" ht="18.600000000000001" customHeight="1">
      <c r="A35" s="94"/>
      <c r="B35" s="411"/>
      <c r="C35" s="407"/>
      <c r="D35" s="996" t="str">
        <f t="shared" ref="D35:D41" si="2">IF(C35="","",IF(C35=5,"Compliant","Not Compliant"))</f>
        <v/>
      </c>
      <c r="E35" s="996"/>
    </row>
    <row r="36" spans="1:5">
      <c r="A36" s="94"/>
      <c r="B36" s="411"/>
      <c r="C36" s="407"/>
      <c r="D36" s="996" t="str">
        <f t="shared" si="2"/>
        <v/>
      </c>
      <c r="E36" s="996"/>
    </row>
    <row r="37" spans="1:5" ht="18" customHeight="1">
      <c r="B37" s="411"/>
      <c r="C37" s="407"/>
      <c r="D37" s="996" t="str">
        <f t="shared" si="2"/>
        <v/>
      </c>
      <c r="E37" s="996"/>
    </row>
    <row r="38" spans="1:5" ht="18" customHeight="1">
      <c r="B38" s="411"/>
      <c r="C38" s="407"/>
      <c r="D38" s="996" t="str">
        <f t="shared" si="2"/>
        <v/>
      </c>
      <c r="E38" s="996"/>
    </row>
    <row r="39" spans="1:5" ht="18" customHeight="1">
      <c r="B39" s="411"/>
      <c r="C39" s="407"/>
      <c r="D39" s="996" t="str">
        <f t="shared" si="2"/>
        <v/>
      </c>
      <c r="E39" s="996"/>
    </row>
    <row r="40" spans="1:5" ht="18" customHeight="1">
      <c r="B40" s="411"/>
      <c r="C40" s="407"/>
      <c r="D40" s="996" t="str">
        <f t="shared" si="2"/>
        <v/>
      </c>
      <c r="E40" s="996"/>
    </row>
    <row r="41" spans="1:5" ht="18" customHeight="1">
      <c r="B41" s="411"/>
      <c r="C41" s="407"/>
      <c r="D41" s="996" t="str">
        <f t="shared" si="2"/>
        <v/>
      </c>
      <c r="E41" s="996"/>
    </row>
    <row r="42" spans="1:5" ht="18" customHeight="1">
      <c r="B42" s="104"/>
      <c r="C42" s="128"/>
      <c r="D42" s="128"/>
      <c r="E42" s="128"/>
    </row>
    <row r="43" spans="1:5" ht="61.2" customHeight="1">
      <c r="B43" s="145" t="s">
        <v>329</v>
      </c>
      <c r="C43" s="124" t="s">
        <v>1512</v>
      </c>
      <c r="D43" s="146" t="s">
        <v>603</v>
      </c>
      <c r="E43" s="14" cm="1">
        <f t="array" ref="E43">IF(OR(AND(E17:E19="✓"),AND(COUNTIF(D23:D30,"Compliant")=COUNTIF(D23:D30,"&lt;&gt;"),COUNTIF(D23:D30,"&lt;&gt;")&gt;0),AND(COUNTIF(D34:D41,"Compliant")=COUNTIF(D34:D41,"&lt;&gt;"),COUNTIF(D34:D41,"&lt;&gt;")&gt;0)),1,0)</f>
        <v>0</v>
      </c>
    </row>
    <row r="44" spans="1:5" ht="18" customHeight="1">
      <c r="B44" s="136"/>
      <c r="C44" s="124"/>
      <c r="D44" s="124"/>
      <c r="E44" s="124"/>
    </row>
    <row r="45" spans="1:5" ht="17.399999999999999" customHeight="1">
      <c r="B45" s="539" t="s">
        <v>59</v>
      </c>
      <c r="C45" s="539"/>
      <c r="D45" s="275" t="s">
        <v>189</v>
      </c>
      <c r="E45" s="8">
        <f>C1</f>
        <v>0</v>
      </c>
    </row>
    <row r="46" spans="1:5" ht="17.399999999999999" customHeight="1">
      <c r="B46" s="97"/>
      <c r="C46" s="97"/>
      <c r="D46" s="97"/>
      <c r="E46" s="97"/>
    </row>
    <row r="47" spans="1:5" ht="17.399999999999999" customHeight="1">
      <c r="B47" s="537" t="s">
        <v>146</v>
      </c>
      <c r="C47" s="537"/>
      <c r="D47" s="537"/>
      <c r="E47" s="537"/>
    </row>
    <row r="48" spans="1:5" ht="17.399999999999999" customHeight="1">
      <c r="B48" s="92" t="s">
        <v>604</v>
      </c>
      <c r="C48" s="92"/>
      <c r="D48" s="92"/>
      <c r="E48" s="92"/>
    </row>
    <row r="49" spans="1:5" ht="14.4" customHeight="1">
      <c r="A49" s="103"/>
      <c r="B49" s="538" t="s">
        <v>1496</v>
      </c>
      <c r="C49" s="538"/>
      <c r="D49" s="538"/>
      <c r="E49" s="101" t="s">
        <v>139</v>
      </c>
    </row>
    <row r="50" spans="1:5" ht="17.399999999999999">
      <c r="A50" s="103"/>
      <c r="B50" s="538" t="s">
        <v>1497</v>
      </c>
      <c r="C50" s="538"/>
      <c r="D50" s="538"/>
      <c r="E50" s="101" t="s">
        <v>139</v>
      </c>
    </row>
    <row r="51" spans="1:5" ht="17.399999999999999">
      <c r="A51" s="103"/>
      <c r="B51" s="538" t="s">
        <v>1498</v>
      </c>
      <c r="C51" s="538"/>
      <c r="D51" s="538"/>
      <c r="E51" s="101" t="s">
        <v>139</v>
      </c>
    </row>
    <row r="52" spans="1:5" ht="17.399999999999999">
      <c r="A52" s="103"/>
      <c r="B52" s="538" t="s">
        <v>1499</v>
      </c>
      <c r="C52" s="538"/>
      <c r="D52" s="538"/>
      <c r="E52" s="101" t="s">
        <v>139</v>
      </c>
    </row>
    <row r="53" spans="1:5" ht="17.399999999999999" customHeight="1">
      <c r="A53" s="103"/>
      <c r="B53" s="581" t="s">
        <v>1500</v>
      </c>
      <c r="C53" s="581"/>
      <c r="D53" s="97"/>
      <c r="E53" s="101"/>
    </row>
    <row r="54" spans="1:5" ht="17.399999999999999">
      <c r="A54" s="103"/>
      <c r="B54" s="560" t="s">
        <v>1501</v>
      </c>
      <c r="C54" s="560"/>
      <c r="D54" s="560"/>
      <c r="E54" s="101" t="s">
        <v>139</v>
      </c>
    </row>
    <row r="55" spans="1:5" ht="17.399999999999999">
      <c r="A55" s="103"/>
      <c r="B55" s="560" t="s">
        <v>1502</v>
      </c>
      <c r="C55" s="560"/>
      <c r="D55" s="560"/>
      <c r="E55" s="101" t="s">
        <v>139</v>
      </c>
    </row>
    <row r="56" spans="1:5" ht="17.399999999999999">
      <c r="A56" s="103"/>
      <c r="B56" s="560" t="s">
        <v>1503</v>
      </c>
      <c r="C56" s="560"/>
      <c r="D56" s="560"/>
      <c r="E56" s="101" t="s">
        <v>139</v>
      </c>
    </row>
    <row r="57" spans="1:5" ht="17.399999999999999">
      <c r="A57" s="103"/>
      <c r="B57" s="538" t="s">
        <v>1504</v>
      </c>
      <c r="C57" s="538"/>
      <c r="D57" s="538"/>
      <c r="E57" s="101" t="s">
        <v>139</v>
      </c>
    </row>
    <row r="58" spans="1:5" ht="14.4">
      <c r="A58" s="114"/>
      <c r="B58" s="531" t="s">
        <v>147</v>
      </c>
      <c r="C58" s="531"/>
      <c r="D58" s="531"/>
      <c r="E58" s="531"/>
    </row>
    <row r="59" spans="1:5" ht="14.4">
      <c r="A59" s="103"/>
      <c r="B59" s="97"/>
      <c r="C59" s="97"/>
      <c r="D59" s="97"/>
      <c r="E59" s="97"/>
    </row>
    <row r="60" spans="1:5" ht="14.4">
      <c r="A60" s="103"/>
      <c r="B60" s="97"/>
      <c r="C60" s="97"/>
      <c r="D60" s="97"/>
      <c r="E60" s="97"/>
    </row>
    <row r="61" spans="1:5" ht="14.4">
      <c r="A61" s="103"/>
      <c r="B61" s="97"/>
      <c r="C61" s="97"/>
      <c r="D61" s="97"/>
      <c r="E61" s="97"/>
    </row>
    <row r="62" spans="1:5">
      <c r="B62" s="97"/>
      <c r="C62" s="97"/>
      <c r="D62" s="97"/>
      <c r="E62" s="97"/>
    </row>
  </sheetData>
  <mergeCells count="44">
    <mergeCell ref="D40:E40"/>
    <mergeCell ref="B15:E15"/>
    <mergeCell ref="D41:E41"/>
    <mergeCell ref="D36:E36"/>
    <mergeCell ref="D37:E37"/>
    <mergeCell ref="D38:E38"/>
    <mergeCell ref="D39:E39"/>
    <mergeCell ref="C8:D8"/>
    <mergeCell ref="C9:D9"/>
    <mergeCell ref="C10:D10"/>
    <mergeCell ref="C11:D11"/>
    <mergeCell ref="D35:E35"/>
    <mergeCell ref="D29:E29"/>
    <mergeCell ref="D30:E30"/>
    <mergeCell ref="B32:E32"/>
    <mergeCell ref="D33:E33"/>
    <mergeCell ref="D34:E34"/>
    <mergeCell ref="B13:E13"/>
    <mergeCell ref="B58:E58"/>
    <mergeCell ref="B49:D49"/>
    <mergeCell ref="B50:D50"/>
    <mergeCell ref="B51:D51"/>
    <mergeCell ref="B52:D52"/>
    <mergeCell ref="B57:D57"/>
    <mergeCell ref="B54:D54"/>
    <mergeCell ref="B55:D55"/>
    <mergeCell ref="B56:D56"/>
    <mergeCell ref="B53:C53"/>
    <mergeCell ref="B4:E4"/>
    <mergeCell ref="B5:E5"/>
    <mergeCell ref="B47:E47"/>
    <mergeCell ref="B45:C45"/>
    <mergeCell ref="B20:D20"/>
    <mergeCell ref="B31:D31"/>
    <mergeCell ref="B14:C14"/>
    <mergeCell ref="D22:E22"/>
    <mergeCell ref="D23:E23"/>
    <mergeCell ref="B7:E7"/>
    <mergeCell ref="B21:E21"/>
    <mergeCell ref="D24:E24"/>
    <mergeCell ref="D25:E25"/>
    <mergeCell ref="D26:E26"/>
    <mergeCell ref="D27:E27"/>
    <mergeCell ref="D28:E28"/>
  </mergeCells>
  <dataValidations count="3">
    <dataValidation type="decimal" sqref="C1" xr:uid="{00000000-0002-0000-1A00-000000000000}">
      <formula1>0</formula1>
      <formula2>2</formula2>
    </dataValidation>
    <dataValidation type="list" sqref="A1 E20 E14 E49:E57 E31" xr:uid="{00000000-0002-0000-1A00-000001000000}">
      <formula1>"☐,☑"</formula1>
    </dataValidation>
    <dataValidation sqref="D22 D33 E17:E19" xr:uid="{6908819B-88AC-4AEF-A1C7-EA000E6E089C}"/>
  </dataValidations>
  <pageMargins left="0.7" right="0.7" top="0.75" bottom="0.75" header="0.3" footer="0.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L75"/>
  <sheetViews>
    <sheetView topLeftCell="A16" workbookViewId="0">
      <selection activeCell="F23" sqref="F23"/>
    </sheetView>
  </sheetViews>
  <sheetFormatPr defaultRowHeight="13.8"/>
  <cols>
    <col min="1" max="1" width="14.19921875" style="93" customWidth="1"/>
    <col min="2" max="2" width="27.796875" style="93" customWidth="1"/>
    <col min="3" max="3" width="28" style="93" customWidth="1"/>
    <col min="4" max="4" width="25.59765625" style="93" customWidth="1"/>
    <col min="5" max="5" width="20.796875" style="93" customWidth="1"/>
    <col min="6" max="6" width="17.19921875" style="93" customWidth="1"/>
    <col min="7" max="7" width="9" style="93" customWidth="1"/>
    <col min="8" max="8" width="32" style="93" customWidth="1"/>
    <col min="9" max="9" width="23.19921875" style="93" customWidth="1"/>
    <col min="10" max="10" width="24.59765625" style="93" customWidth="1"/>
    <col min="11" max="11" width="21.3984375" style="93" customWidth="1"/>
    <col min="12" max="16384" width="8.796875" style="93"/>
  </cols>
  <sheetData>
    <row r="1" spans="1:12" ht="17.399999999999999">
      <c r="A1" s="91" t="s">
        <v>134</v>
      </c>
      <c r="B1" s="707" t="s">
        <v>163</v>
      </c>
      <c r="C1" s="707"/>
      <c r="D1" s="832">
        <f>MAX(F21,F35,K12,K18)</f>
        <v>0</v>
      </c>
      <c r="E1" s="832"/>
      <c r="F1" s="832"/>
      <c r="G1" s="832"/>
      <c r="H1" s="707" t="s">
        <v>164</v>
      </c>
      <c r="I1" s="707"/>
      <c r="J1" s="707">
        <v>1</v>
      </c>
      <c r="K1" s="707"/>
    </row>
    <row r="2" spans="1:12" ht="24.6" customHeight="1">
      <c r="A2" s="94"/>
      <c r="B2" s="532" t="s">
        <v>61</v>
      </c>
      <c r="C2" s="532"/>
      <c r="D2" s="95"/>
      <c r="E2" s="757"/>
      <c r="F2" s="757"/>
      <c r="G2" s="532"/>
      <c r="H2" s="532"/>
      <c r="I2" s="95"/>
      <c r="J2" s="757" t="s">
        <v>60</v>
      </c>
      <c r="K2" s="757"/>
    </row>
    <row r="3" spans="1:12" ht="15.6">
      <c r="A3" s="94"/>
      <c r="B3" s="96" t="s">
        <v>5</v>
      </c>
      <c r="C3" s="97"/>
      <c r="D3" s="97"/>
      <c r="E3" s="632"/>
      <c r="F3" s="632"/>
      <c r="H3" s="93" t="s">
        <v>285</v>
      </c>
      <c r="I3" s="97"/>
      <c r="J3" s="632" t="str">
        <f>HYPERLINK("#'Checklist'!A1","Go To Checklist")</f>
        <v>Go To Checklist</v>
      </c>
      <c r="K3" s="632"/>
    </row>
    <row r="4" spans="1:12" ht="46.2" customHeight="1">
      <c r="A4" s="94"/>
      <c r="B4" s="533" t="s">
        <v>710</v>
      </c>
      <c r="C4" s="699"/>
      <c r="D4" s="699"/>
      <c r="E4" s="699"/>
      <c r="F4" s="700"/>
      <c r="H4" s="533" t="s">
        <v>710</v>
      </c>
      <c r="I4" s="699"/>
      <c r="J4" s="699"/>
      <c r="K4" s="700"/>
      <c r="L4" s="227"/>
    </row>
    <row r="5" spans="1:12" ht="15.45" customHeight="1">
      <c r="A5" s="94"/>
      <c r="B5" s="760" t="s">
        <v>1672</v>
      </c>
      <c r="C5" s="760"/>
      <c r="D5" s="760"/>
      <c r="E5" s="760"/>
      <c r="F5" s="760"/>
      <c r="H5" s="760" t="s">
        <v>1672</v>
      </c>
      <c r="I5" s="760"/>
      <c r="J5" s="760"/>
      <c r="K5" s="760"/>
      <c r="L5" s="322"/>
    </row>
    <row r="6" spans="1:12" ht="19.2" customHeight="1">
      <c r="A6" s="94"/>
      <c r="B6" s="307" t="s">
        <v>610</v>
      </c>
      <c r="C6" s="307"/>
      <c r="D6" s="307"/>
      <c r="E6" s="307"/>
      <c r="F6" s="420" t="s">
        <v>139</v>
      </c>
      <c r="G6" s="421" t="s">
        <v>816</v>
      </c>
      <c r="H6" s="422" t="s">
        <v>623</v>
      </c>
      <c r="I6" s="423"/>
      <c r="J6" s="423"/>
      <c r="K6" s="420" t="s">
        <v>139</v>
      </c>
    </row>
    <row r="7" spans="1:12" ht="28.8" customHeight="1">
      <c r="A7" s="94"/>
      <c r="B7" s="839" t="s">
        <v>1652</v>
      </c>
      <c r="C7" s="839"/>
      <c r="D7" s="839"/>
      <c r="E7" s="839"/>
      <c r="F7" s="839"/>
      <c r="H7" s="529" t="s">
        <v>624</v>
      </c>
      <c r="I7" s="529"/>
      <c r="J7" s="529"/>
      <c r="K7" s="529"/>
    </row>
    <row r="8" spans="1:12" ht="32.4" customHeight="1">
      <c r="A8" s="212"/>
      <c r="B8" s="370" t="s">
        <v>1513</v>
      </c>
      <c r="C8" s="370" t="s">
        <v>1514</v>
      </c>
      <c r="D8" s="370" t="s">
        <v>1515</v>
      </c>
      <c r="E8" s="370" t="s">
        <v>1516</v>
      </c>
      <c r="F8" s="370" t="s">
        <v>1493</v>
      </c>
      <c r="H8" s="846" t="s">
        <v>625</v>
      </c>
      <c r="I8" s="846"/>
      <c r="J8" s="419" t="s">
        <v>622</v>
      </c>
      <c r="K8" s="419" t="s">
        <v>631</v>
      </c>
    </row>
    <row r="9" spans="1:12" ht="19.95" customHeight="1">
      <c r="A9" s="94"/>
      <c r="B9" s="367"/>
      <c r="C9" s="383">
        <v>100</v>
      </c>
      <c r="D9" s="383">
        <v>200</v>
      </c>
      <c r="E9" s="434">
        <f>IFERROR(C9/D9,"")</f>
        <v>0.5</v>
      </c>
      <c r="F9" s="434" t="str">
        <f>IF(E9="","",IF(E9&gt;=16.05,"Compliant","Not Compliant"))</f>
        <v>Not Compliant</v>
      </c>
      <c r="H9" s="847" t="s">
        <v>626</v>
      </c>
      <c r="I9" s="847"/>
      <c r="J9" s="425" t="s">
        <v>319</v>
      </c>
      <c r="K9" s="424"/>
    </row>
    <row r="10" spans="1:12" ht="19.95" customHeight="1">
      <c r="A10" s="94"/>
      <c r="B10" s="367"/>
      <c r="C10" s="383"/>
      <c r="D10" s="372"/>
      <c r="E10" s="434" t="str">
        <f t="shared" ref="E10:E20" si="0">IFERROR(C10/D10,"")</f>
        <v/>
      </c>
      <c r="F10" s="434" t="str">
        <f t="shared" ref="F10:F20" si="1">IF(E10="","",IF(E10&gt;=16.05,"Compliant","Not Compliant"))</f>
        <v/>
      </c>
      <c r="H10" s="847" t="s">
        <v>627</v>
      </c>
      <c r="I10" s="847"/>
      <c r="J10" s="425" t="s">
        <v>620</v>
      </c>
      <c r="K10" s="434">
        <f>'WC CR 4'!E36</f>
        <v>0</v>
      </c>
    </row>
    <row r="11" spans="1:12" ht="19.95" customHeight="1">
      <c r="A11" s="94"/>
      <c r="B11" s="367"/>
      <c r="C11" s="383"/>
      <c r="D11" s="372"/>
      <c r="E11" s="434" t="str">
        <f t="shared" si="0"/>
        <v/>
      </c>
      <c r="F11" s="434" t="str">
        <f t="shared" si="1"/>
        <v/>
      </c>
      <c r="H11" s="847" t="s">
        <v>625</v>
      </c>
      <c r="I11" s="847"/>
      <c r="J11" s="425" t="s">
        <v>628</v>
      </c>
      <c r="K11" s="434" t="str">
        <f>IFERROR(K9/K10,"")</f>
        <v/>
      </c>
    </row>
    <row r="12" spans="1:12" ht="28.2" customHeight="1">
      <c r="A12" s="94"/>
      <c r="B12" s="411"/>
      <c r="C12" s="383"/>
      <c r="D12" s="372"/>
      <c r="E12" s="434" t="str">
        <f t="shared" si="0"/>
        <v/>
      </c>
      <c r="F12" s="434" t="str">
        <f t="shared" si="1"/>
        <v/>
      </c>
      <c r="H12" s="145" t="s">
        <v>329</v>
      </c>
      <c r="I12" s="124" t="s">
        <v>1519</v>
      </c>
      <c r="J12" s="146" t="s">
        <v>603</v>
      </c>
      <c r="K12" s="14">
        <f>IF(K11&lt;=1.45,1,0)</f>
        <v>0</v>
      </c>
    </row>
    <row r="13" spans="1:12" ht="19.95" customHeight="1">
      <c r="A13" s="94"/>
      <c r="B13" s="367"/>
      <c r="C13" s="383"/>
      <c r="D13" s="372"/>
      <c r="E13" s="434" t="str">
        <f t="shared" si="0"/>
        <v/>
      </c>
      <c r="F13" s="434" t="str">
        <f t="shared" si="1"/>
        <v/>
      </c>
      <c r="H13" s="848" t="s">
        <v>816</v>
      </c>
      <c r="I13" s="848"/>
      <c r="J13" s="848"/>
      <c r="K13" s="848"/>
      <c r="L13" s="363"/>
    </row>
    <row r="14" spans="1:12" ht="19.95" customHeight="1">
      <c r="A14" s="94"/>
      <c r="B14" s="367"/>
      <c r="C14" s="383"/>
      <c r="D14" s="372"/>
      <c r="E14" s="434" t="str">
        <f t="shared" si="0"/>
        <v/>
      </c>
      <c r="F14" s="434" t="str">
        <f t="shared" si="1"/>
        <v/>
      </c>
      <c r="H14" s="692" t="s">
        <v>629</v>
      </c>
      <c r="I14" s="692"/>
      <c r="J14" s="423"/>
      <c r="K14" s="420" t="s">
        <v>139</v>
      </c>
    </row>
    <row r="15" spans="1:12" ht="19.95" customHeight="1">
      <c r="A15" s="94"/>
      <c r="B15" s="367"/>
      <c r="C15" s="383"/>
      <c r="D15" s="372"/>
      <c r="E15" s="434" t="str">
        <f t="shared" si="0"/>
        <v/>
      </c>
      <c r="F15" s="434" t="str">
        <f t="shared" si="1"/>
        <v/>
      </c>
      <c r="H15" s="529" t="s">
        <v>630</v>
      </c>
      <c r="I15" s="529"/>
      <c r="J15" s="529"/>
      <c r="K15" s="529"/>
    </row>
    <row r="16" spans="1:12" ht="19.95" customHeight="1">
      <c r="A16" s="94"/>
      <c r="B16" s="367"/>
      <c r="C16" s="383"/>
      <c r="D16" s="372"/>
      <c r="E16" s="434" t="str">
        <f t="shared" si="0"/>
        <v/>
      </c>
      <c r="F16" s="434" t="str">
        <f t="shared" si="1"/>
        <v/>
      </c>
      <c r="H16" s="318" t="s">
        <v>340</v>
      </c>
      <c r="I16" s="318"/>
      <c r="J16" s="130" t="s">
        <v>622</v>
      </c>
      <c r="K16" s="130" t="s">
        <v>631</v>
      </c>
    </row>
    <row r="17" spans="1:11" ht="19.95" customHeight="1">
      <c r="A17" s="94"/>
      <c r="B17" s="367"/>
      <c r="C17" s="383"/>
      <c r="D17" s="372"/>
      <c r="E17" s="434" t="str">
        <f t="shared" si="0"/>
        <v/>
      </c>
      <c r="F17" s="434" t="str">
        <f t="shared" si="1"/>
        <v/>
      </c>
      <c r="H17" s="847" t="s">
        <v>1520</v>
      </c>
      <c r="I17" s="847"/>
      <c r="J17" s="427" t="s">
        <v>1521</v>
      </c>
      <c r="K17" s="424"/>
    </row>
    <row r="18" spans="1:11" ht="19.95" customHeight="1">
      <c r="A18" s="94"/>
      <c r="B18" s="367"/>
      <c r="C18" s="383"/>
      <c r="D18" s="372"/>
      <c r="E18" s="434" t="str">
        <f t="shared" si="0"/>
        <v/>
      </c>
      <c r="F18" s="434" t="str">
        <f t="shared" si="1"/>
        <v/>
      </c>
      <c r="H18" s="145" t="s">
        <v>329</v>
      </c>
      <c r="I18" s="124" t="s">
        <v>1522</v>
      </c>
      <c r="J18" s="146" t="s">
        <v>603</v>
      </c>
      <c r="K18" s="14">
        <f>IF(AND(K17&gt;0,K17&lt;=40),1,0)</f>
        <v>0</v>
      </c>
    </row>
    <row r="19" spans="1:11" ht="19.95" customHeight="1">
      <c r="A19" s="94"/>
      <c r="B19" s="367"/>
      <c r="C19" s="383"/>
      <c r="D19" s="372"/>
      <c r="E19" s="434" t="str">
        <f t="shared" si="0"/>
        <v/>
      </c>
      <c r="F19" s="434" t="str">
        <f t="shared" si="1"/>
        <v/>
      </c>
    </row>
    <row r="20" spans="1:11" ht="19.95" customHeight="1">
      <c r="A20" s="94"/>
      <c r="B20" s="367"/>
      <c r="C20" s="383"/>
      <c r="D20" s="372"/>
      <c r="E20" s="434" t="str">
        <f t="shared" si="0"/>
        <v/>
      </c>
      <c r="F20" s="434" t="str">
        <f t="shared" si="1"/>
        <v/>
      </c>
      <c r="H20" s="849"/>
      <c r="I20" s="849"/>
      <c r="J20" s="300"/>
      <c r="K20" s="341"/>
    </row>
    <row r="21" spans="1:11">
      <c r="A21" s="94"/>
      <c r="B21" s="145" t="s">
        <v>329</v>
      </c>
      <c r="C21" s="585" t="s">
        <v>1517</v>
      </c>
      <c r="D21" s="585"/>
      <c r="E21" s="146" t="s">
        <v>603</v>
      </c>
      <c r="F21" s="14">
        <f>IF(COUNTIF(F8:F20,"Not Compliant")&gt;0,0,IF(COUNTIF(F8:F19,"Compliant")&gt;0,1,0))</f>
        <v>0</v>
      </c>
    </row>
    <row r="22" spans="1:11" ht="15.6" customHeight="1">
      <c r="A22" s="94"/>
      <c r="B22" s="848" t="s">
        <v>816</v>
      </c>
      <c r="C22" s="848"/>
      <c r="D22" s="848"/>
      <c r="E22" s="848"/>
      <c r="F22" s="848"/>
    </row>
    <row r="23" spans="1:11" ht="13.8" customHeight="1">
      <c r="A23" s="94"/>
      <c r="B23" s="422" t="s">
        <v>665</v>
      </c>
      <c r="C23" s="428"/>
      <c r="D23" s="428"/>
      <c r="E23" s="428"/>
      <c r="F23" s="420" t="s">
        <v>139</v>
      </c>
    </row>
    <row r="24" spans="1:11" ht="15.6">
      <c r="A24" s="94"/>
      <c r="B24" s="839" t="s">
        <v>612</v>
      </c>
      <c r="C24" s="839"/>
      <c r="D24" s="839"/>
      <c r="E24" s="839"/>
      <c r="F24" s="839"/>
    </row>
    <row r="25" spans="1:11" ht="15.45" customHeight="1">
      <c r="A25" s="94"/>
      <c r="B25" s="854" t="s">
        <v>613</v>
      </c>
      <c r="C25" s="854"/>
      <c r="D25" s="429" t="s">
        <v>614</v>
      </c>
      <c r="E25" s="92"/>
      <c r="F25" s="97"/>
    </row>
    <row r="26" spans="1:11" ht="15.45" customHeight="1">
      <c r="A26" s="94"/>
      <c r="B26" s="828" t="s">
        <v>615</v>
      </c>
      <c r="C26" s="828"/>
      <c r="D26" s="383" t="s">
        <v>336</v>
      </c>
      <c r="E26" s="97"/>
      <c r="F26" s="97"/>
    </row>
    <row r="27" spans="1:11" ht="18" customHeight="1">
      <c r="A27" s="94"/>
      <c r="B27" s="828" t="s">
        <v>616</v>
      </c>
      <c r="C27" s="828"/>
      <c r="D27" s="383" t="s">
        <v>337</v>
      </c>
      <c r="E27" s="97"/>
      <c r="F27" s="97"/>
    </row>
    <row r="28" spans="1:11" ht="18" customHeight="1">
      <c r="A28" s="94"/>
      <c r="B28" s="828" t="s">
        <v>617</v>
      </c>
      <c r="C28" s="828"/>
      <c r="D28" s="383" t="s">
        <v>338</v>
      </c>
      <c r="E28" s="97"/>
      <c r="F28" s="97"/>
    </row>
    <row r="29" spans="1:11" ht="18" customHeight="1">
      <c r="A29" s="94"/>
      <c r="B29" s="843" t="s">
        <v>618</v>
      </c>
      <c r="C29" s="843"/>
      <c r="D29" s="430" t="s">
        <v>339</v>
      </c>
      <c r="E29" s="97"/>
      <c r="F29" s="97"/>
    </row>
    <row r="30" spans="1:11" ht="18" customHeight="1">
      <c r="A30" s="94"/>
      <c r="B30" s="851" t="s">
        <v>940</v>
      </c>
      <c r="C30" s="852"/>
      <c r="D30" s="829" t="s">
        <v>622</v>
      </c>
      <c r="E30" s="829"/>
      <c r="F30" s="409" t="s">
        <v>631</v>
      </c>
    </row>
    <row r="31" spans="1:11" ht="18" customHeight="1">
      <c r="A31" s="94"/>
      <c r="B31" s="828" t="s">
        <v>613</v>
      </c>
      <c r="C31" s="828"/>
      <c r="D31" s="853" t="s">
        <v>617</v>
      </c>
      <c r="E31" s="853"/>
      <c r="F31" s="853"/>
    </row>
    <row r="32" spans="1:11" ht="28.2" customHeight="1">
      <c r="B32" s="828" t="s">
        <v>619</v>
      </c>
      <c r="C32" s="828"/>
      <c r="D32" s="845" t="s">
        <v>319</v>
      </c>
      <c r="E32" s="845"/>
      <c r="F32" s="365"/>
    </row>
    <row r="33" spans="1:11" ht="15">
      <c r="B33" s="828" t="s">
        <v>611</v>
      </c>
      <c r="C33" s="828"/>
      <c r="D33" s="845" t="s">
        <v>620</v>
      </c>
      <c r="E33" s="845"/>
      <c r="F33" s="365"/>
    </row>
    <row r="34" spans="1:11" ht="22.8" customHeight="1">
      <c r="B34" s="828" t="s">
        <v>621</v>
      </c>
      <c r="C34" s="828"/>
      <c r="D34" s="845" t="s">
        <v>628</v>
      </c>
      <c r="E34" s="845"/>
      <c r="F34" s="435">
        <f>IFERROR((F32)/F33,0)</f>
        <v>0</v>
      </c>
      <c r="G34" s="467"/>
      <c r="H34" s="467"/>
      <c r="I34" s="467"/>
      <c r="J34" s="850">
        <f>D1</f>
        <v>0</v>
      </c>
      <c r="K34" s="850"/>
    </row>
    <row r="35" spans="1:11" ht="18" customHeight="1">
      <c r="B35" s="145" t="s">
        <v>329</v>
      </c>
      <c r="C35" s="585" t="s">
        <v>1518</v>
      </c>
      <c r="D35" s="585"/>
      <c r="E35" s="146" t="s">
        <v>603</v>
      </c>
      <c r="F35" s="14">
        <f>IF(ISNUMBER(SEARCH("Vented Gas Dryer",D31)),IF(F34&gt;=0.63,1,0),IF(ISNUMBER(SEARCH("Standard",D31)),IF(F34&gt;=0.56,1,0),IF(ISNUMBER(SEARCH("Compact, 120V",D31)),IF(F34&gt;=0.58,1,0),IF(ISNUMBER(SEARCH("Compact, 240V",D31)),IF(F34&gt;=0.64,1,0),0))))</f>
        <v>0</v>
      </c>
    </row>
    <row r="36" spans="1:11" ht="18" customHeight="1">
      <c r="B36" s="97"/>
      <c r="C36" s="128"/>
      <c r="D36" s="128"/>
      <c r="E36" s="128"/>
      <c r="F36" s="136"/>
      <c r="H36" s="667" t="s">
        <v>146</v>
      </c>
      <c r="I36" s="667"/>
      <c r="J36" s="667"/>
      <c r="K36" s="667"/>
    </row>
    <row r="37" spans="1:11" ht="18" customHeight="1">
      <c r="B37" s="844" t="s">
        <v>61</v>
      </c>
      <c r="C37" s="844"/>
      <c r="D37" s="431"/>
      <c r="E37" s="467" t="s">
        <v>189</v>
      </c>
      <c r="F37" s="467"/>
      <c r="H37" s="432" t="s">
        <v>669</v>
      </c>
    </row>
    <row r="38" spans="1:11" ht="13.95" customHeight="1">
      <c r="A38" s="114"/>
      <c r="B38" s="97"/>
      <c r="C38" s="128"/>
      <c r="D38" s="128"/>
      <c r="E38" s="128"/>
      <c r="F38" s="92"/>
      <c r="G38" s="114"/>
      <c r="H38" s="840" t="s">
        <v>670</v>
      </c>
      <c r="I38" s="840"/>
      <c r="J38" s="840"/>
      <c r="K38" s="101" t="s">
        <v>139</v>
      </c>
    </row>
    <row r="39" spans="1:11" ht="17.399999999999999" customHeight="1">
      <c r="A39" s="114"/>
      <c r="B39" s="537" t="s">
        <v>146</v>
      </c>
      <c r="C39" s="537"/>
      <c r="D39" s="537"/>
      <c r="E39" s="537"/>
      <c r="F39" s="537"/>
      <c r="G39" s="114"/>
      <c r="H39" s="840" t="s">
        <v>671</v>
      </c>
      <c r="I39" s="840"/>
      <c r="J39" s="840"/>
      <c r="K39" s="101" t="s">
        <v>139</v>
      </c>
    </row>
    <row r="40" spans="1:11" ht="17.399999999999999">
      <c r="A40" s="114"/>
      <c r="B40" s="92" t="s">
        <v>664</v>
      </c>
      <c r="C40" s="92"/>
      <c r="D40" s="92"/>
      <c r="E40" s="92"/>
      <c r="F40" s="92"/>
      <c r="G40" s="114"/>
      <c r="H40" s="840" t="s">
        <v>672</v>
      </c>
      <c r="I40" s="840"/>
      <c r="J40" s="840"/>
      <c r="K40" s="101" t="s">
        <v>139</v>
      </c>
    </row>
    <row r="41" spans="1:11" ht="17.399999999999999" customHeight="1">
      <c r="A41" s="114"/>
      <c r="B41" s="538" t="s">
        <v>661</v>
      </c>
      <c r="C41" s="538"/>
      <c r="D41" s="538"/>
      <c r="E41" s="97"/>
      <c r="F41" s="101" t="s">
        <v>139</v>
      </c>
      <c r="G41" s="114"/>
      <c r="H41" s="842" t="s">
        <v>629</v>
      </c>
      <c r="I41" s="840"/>
      <c r="J41" s="840"/>
    </row>
    <row r="42" spans="1:11" ht="17.399999999999999" customHeight="1">
      <c r="A42" s="114"/>
      <c r="B42" s="538" t="s">
        <v>662</v>
      </c>
      <c r="C42" s="538"/>
      <c r="D42" s="538"/>
      <c r="E42" s="97"/>
      <c r="F42" s="101" t="s">
        <v>139</v>
      </c>
      <c r="G42" s="114"/>
      <c r="H42" s="840" t="s">
        <v>675</v>
      </c>
      <c r="I42" s="840"/>
      <c r="J42" s="840"/>
      <c r="K42" s="101" t="s">
        <v>139</v>
      </c>
    </row>
    <row r="43" spans="1:11" ht="17.399999999999999" customHeight="1">
      <c r="A43" s="114"/>
      <c r="B43" s="538" t="s">
        <v>663</v>
      </c>
      <c r="C43" s="538"/>
      <c r="D43" s="538"/>
      <c r="E43" s="97"/>
      <c r="F43" s="101" t="s">
        <v>139</v>
      </c>
      <c r="G43" s="114"/>
      <c r="H43" s="840" t="s">
        <v>676</v>
      </c>
      <c r="I43" s="840"/>
      <c r="J43" s="840"/>
      <c r="K43" s="101" t="s">
        <v>139</v>
      </c>
    </row>
    <row r="44" spans="1:11" ht="17.399999999999999" customHeight="1">
      <c r="A44" s="114"/>
      <c r="B44" s="748" t="s">
        <v>665</v>
      </c>
      <c r="C44" s="748"/>
      <c r="D44" s="748"/>
      <c r="E44" s="92"/>
      <c r="F44" s="101"/>
      <c r="G44" s="114"/>
      <c r="H44" s="840" t="s">
        <v>673</v>
      </c>
      <c r="I44" s="840"/>
      <c r="J44" s="840"/>
      <c r="K44" s="101" t="s">
        <v>139</v>
      </c>
    </row>
    <row r="45" spans="1:11" ht="17.399999999999999" customHeight="1">
      <c r="A45" s="114"/>
      <c r="B45" s="560" t="s">
        <v>666</v>
      </c>
      <c r="C45" s="560"/>
      <c r="D45" s="560"/>
      <c r="E45" s="104"/>
      <c r="F45" s="101" t="s">
        <v>139</v>
      </c>
      <c r="G45" s="114"/>
      <c r="H45" s="433" t="s">
        <v>674</v>
      </c>
      <c r="I45" s="433"/>
      <c r="J45" s="433"/>
      <c r="K45" s="101" t="s">
        <v>139</v>
      </c>
    </row>
    <row r="46" spans="1:11" ht="17.399999999999999">
      <c r="A46" s="114"/>
      <c r="B46" s="560" t="s">
        <v>667</v>
      </c>
      <c r="C46" s="560"/>
      <c r="D46" s="560"/>
      <c r="E46" s="104"/>
      <c r="F46" s="101" t="s">
        <v>139</v>
      </c>
      <c r="G46" s="114"/>
      <c r="H46" s="841" t="s">
        <v>147</v>
      </c>
      <c r="I46" s="840"/>
      <c r="J46" s="840"/>
    </row>
    <row r="47" spans="1:11" ht="17.399999999999999">
      <c r="A47" s="114"/>
      <c r="B47" s="560" t="s">
        <v>668</v>
      </c>
      <c r="C47" s="560"/>
      <c r="D47" s="560"/>
      <c r="E47" s="104"/>
      <c r="F47" s="101" t="s">
        <v>139</v>
      </c>
      <c r="G47" s="114"/>
    </row>
    <row r="48" spans="1:11" ht="14.4">
      <c r="A48" s="114"/>
      <c r="B48" s="841" t="s">
        <v>147</v>
      </c>
      <c r="C48" s="840"/>
      <c r="D48" s="840"/>
      <c r="E48" s="433"/>
      <c r="G48" s="114"/>
    </row>
    <row r="49" spans="2:7" ht="14.4">
      <c r="B49" s="432"/>
      <c r="G49" s="114"/>
    </row>
    <row r="50" spans="2:7" ht="17.399999999999999">
      <c r="B50" s="840"/>
      <c r="C50" s="840"/>
      <c r="D50" s="840"/>
      <c r="E50" s="101"/>
    </row>
    <row r="51" spans="2:7" ht="17.399999999999999">
      <c r="B51" s="840"/>
      <c r="C51" s="840"/>
      <c r="D51" s="840"/>
      <c r="E51" s="101"/>
    </row>
    <row r="52" spans="2:7" ht="17.399999999999999">
      <c r="B52" s="840"/>
      <c r="C52" s="840"/>
      <c r="D52" s="840"/>
      <c r="E52" s="101"/>
    </row>
    <row r="53" spans="2:7">
      <c r="B53" s="842"/>
      <c r="C53" s="840"/>
      <c r="D53" s="840"/>
    </row>
    <row r="54" spans="2:7" ht="17.399999999999999">
      <c r="B54" s="840"/>
      <c r="C54" s="840"/>
      <c r="D54" s="840"/>
      <c r="E54" s="101"/>
    </row>
    <row r="55" spans="2:7" ht="17.399999999999999">
      <c r="B55" s="840"/>
      <c r="C55" s="840"/>
      <c r="D55" s="840"/>
      <c r="E55" s="101"/>
    </row>
    <row r="56" spans="2:7" ht="17.399999999999999">
      <c r="B56" s="840"/>
      <c r="C56" s="840"/>
      <c r="D56" s="840"/>
      <c r="E56" s="101"/>
    </row>
    <row r="57" spans="2:7" ht="17.399999999999999">
      <c r="B57" s="433"/>
      <c r="C57" s="433"/>
      <c r="D57" s="433"/>
      <c r="E57" s="101"/>
    </row>
    <row r="58" spans="2:7">
      <c r="B58" s="840"/>
      <c r="C58" s="840"/>
      <c r="D58" s="840"/>
    </row>
    <row r="59" spans="2:7">
      <c r="B59" s="840"/>
      <c r="C59" s="840"/>
      <c r="D59" s="840"/>
    </row>
    <row r="60" spans="2:7">
      <c r="B60" s="840"/>
      <c r="C60" s="840"/>
      <c r="D60" s="840"/>
    </row>
    <row r="61" spans="2:7">
      <c r="B61" s="840"/>
      <c r="C61" s="840"/>
      <c r="D61" s="840"/>
    </row>
    <row r="62" spans="2:7">
      <c r="B62" s="840"/>
      <c r="C62" s="840"/>
      <c r="D62" s="840"/>
    </row>
    <row r="63" spans="2:7">
      <c r="B63" s="840"/>
      <c r="C63" s="840"/>
      <c r="D63" s="840"/>
    </row>
    <row r="64" spans="2:7">
      <c r="B64" s="840"/>
      <c r="C64" s="840"/>
      <c r="D64" s="840"/>
    </row>
    <row r="65" spans="2:4">
      <c r="B65" s="840"/>
      <c r="C65" s="840"/>
      <c r="D65" s="840"/>
    </row>
    <row r="66" spans="2:4">
      <c r="B66" s="840"/>
      <c r="C66" s="840"/>
      <c r="D66" s="840"/>
    </row>
    <row r="67" spans="2:4">
      <c r="B67" s="840"/>
      <c r="C67" s="840"/>
      <c r="D67" s="840"/>
    </row>
    <row r="68" spans="2:4">
      <c r="B68" s="840"/>
      <c r="C68" s="840"/>
      <c r="D68" s="840"/>
    </row>
    <row r="69" spans="2:4">
      <c r="B69" s="840"/>
      <c r="C69" s="840"/>
      <c r="D69" s="840"/>
    </row>
    <row r="70" spans="2:4">
      <c r="B70" s="840"/>
      <c r="C70" s="840"/>
      <c r="D70" s="840"/>
    </row>
    <row r="71" spans="2:4">
      <c r="B71" s="840"/>
      <c r="C71" s="840"/>
      <c r="D71" s="840"/>
    </row>
    <row r="72" spans="2:4">
      <c r="B72" s="840"/>
      <c r="C72" s="840"/>
      <c r="D72" s="840"/>
    </row>
    <row r="73" spans="2:4">
      <c r="B73" s="840"/>
      <c r="C73" s="840"/>
      <c r="D73" s="840"/>
    </row>
    <row r="74" spans="2:4">
      <c r="B74" s="840"/>
      <c r="C74" s="840"/>
      <c r="D74" s="840"/>
    </row>
    <row r="75" spans="2:4">
      <c r="B75" s="840"/>
      <c r="C75" s="840"/>
      <c r="D75" s="840"/>
    </row>
  </sheetData>
  <mergeCells count="89">
    <mergeCell ref="H5:K5"/>
    <mergeCell ref="G2:H2"/>
    <mergeCell ref="J2:K2"/>
    <mergeCell ref="J3:K3"/>
    <mergeCell ref="E2:F2"/>
    <mergeCell ref="B5:F5"/>
    <mergeCell ref="B1:C1"/>
    <mergeCell ref="J1:K1"/>
    <mergeCell ref="H1:I1"/>
    <mergeCell ref="D1:G1"/>
    <mergeCell ref="H4:K4"/>
    <mergeCell ref="B2:C2"/>
    <mergeCell ref="B4:F4"/>
    <mergeCell ref="E3:F3"/>
    <mergeCell ref="H41:J41"/>
    <mergeCell ref="H42:J42"/>
    <mergeCell ref="J34:K34"/>
    <mergeCell ref="H7:K7"/>
    <mergeCell ref="B7:F7"/>
    <mergeCell ref="B30:C30"/>
    <mergeCell ref="D33:E33"/>
    <mergeCell ref="D30:E30"/>
    <mergeCell ref="B31:C31"/>
    <mergeCell ref="D31:F31"/>
    <mergeCell ref="B32:C32"/>
    <mergeCell ref="D32:E32"/>
    <mergeCell ref="C21:D21"/>
    <mergeCell ref="B22:F22"/>
    <mergeCell ref="B24:F24"/>
    <mergeCell ref="B25:C25"/>
    <mergeCell ref="H43:J43"/>
    <mergeCell ref="H44:J44"/>
    <mergeCell ref="H46:J46"/>
    <mergeCell ref="H8:I8"/>
    <mergeCell ref="H9:I9"/>
    <mergeCell ref="H10:I10"/>
    <mergeCell ref="H11:I11"/>
    <mergeCell ref="H13:K13"/>
    <mergeCell ref="H14:I14"/>
    <mergeCell ref="H15:K15"/>
    <mergeCell ref="H17:I17"/>
    <mergeCell ref="H20:I20"/>
    <mergeCell ref="H36:K36"/>
    <mergeCell ref="H38:J38"/>
    <mergeCell ref="H39:J39"/>
    <mergeCell ref="H40:J40"/>
    <mergeCell ref="B26:C26"/>
    <mergeCell ref="B42:D42"/>
    <mergeCell ref="B43:D43"/>
    <mergeCell ref="B53:D53"/>
    <mergeCell ref="B27:C27"/>
    <mergeCell ref="B28:C28"/>
    <mergeCell ref="B29:C29"/>
    <mergeCell ref="B37:C37"/>
    <mergeCell ref="B39:F39"/>
    <mergeCell ref="B34:C34"/>
    <mergeCell ref="D34:E34"/>
    <mergeCell ref="C35:D35"/>
    <mergeCell ref="B51:D51"/>
    <mergeCell ref="B41:D41"/>
    <mergeCell ref="B44:D44"/>
    <mergeCell ref="B45:D45"/>
    <mergeCell ref="B33:C33"/>
    <mergeCell ref="B46:D46"/>
    <mergeCell ref="B47:D47"/>
    <mergeCell ref="B48:D48"/>
    <mergeCell ref="B50:D50"/>
    <mergeCell ref="B52:D52"/>
    <mergeCell ref="B74:D74"/>
    <mergeCell ref="B62:D62"/>
    <mergeCell ref="B54:D54"/>
    <mergeCell ref="B56:D56"/>
    <mergeCell ref="B73:D73"/>
    <mergeCell ref="B58:D58"/>
    <mergeCell ref="B59:D59"/>
    <mergeCell ref="B60:D60"/>
    <mergeCell ref="B61:D61"/>
    <mergeCell ref="B75:D75"/>
    <mergeCell ref="B55:D55"/>
    <mergeCell ref="B68:D68"/>
    <mergeCell ref="B69:D69"/>
    <mergeCell ref="B70:D70"/>
    <mergeCell ref="B71:D71"/>
    <mergeCell ref="B72:D72"/>
    <mergeCell ref="B63:D63"/>
    <mergeCell ref="B64:D64"/>
    <mergeCell ref="B65:D65"/>
    <mergeCell ref="B66:D66"/>
    <mergeCell ref="B67:D67"/>
  </mergeCells>
  <conditionalFormatting sqref="B7:F21">
    <cfRule type="expression" dxfId="77" priority="4">
      <formula>$F$6&lt;&gt;"☑"</formula>
    </cfRule>
  </conditionalFormatting>
  <conditionalFormatting sqref="B24:F29 B31:F35 B30 D30:F30">
    <cfRule type="expression" dxfId="76" priority="3">
      <formula>$F$23&lt;&gt;"☑"</formula>
    </cfRule>
  </conditionalFormatting>
  <conditionalFormatting sqref="H7:K12">
    <cfRule type="expression" dxfId="75" priority="2">
      <formula>$K$6&lt;&gt;"☑"</formula>
    </cfRule>
  </conditionalFormatting>
  <conditionalFormatting sqref="H15:K19">
    <cfRule type="expression" dxfId="74" priority="1">
      <formula>$K$14&lt;&gt;"☑"</formula>
    </cfRule>
  </conditionalFormatting>
  <dataValidations count="3">
    <dataValidation type="decimal" sqref="D1" xr:uid="{00000000-0002-0000-1B00-000000000000}">
      <formula1>0</formula1>
      <formula2>1</formula2>
    </dataValidation>
    <dataValidation type="list" sqref="A1 E50:E52 E54:E57 F41:F47 K38:K40 K42:K45 F23 F6 K6 K14" xr:uid="{00000000-0002-0000-1B00-000001000000}">
      <formula1>"☐,☑"</formula1>
    </dataValidation>
    <dataValidation sqref="F8" xr:uid="{DE90EB59-4B62-446E-BDC7-C6010D46742D}"/>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0900" r:id="rId4" name="Button 4">
              <controlPr defaultSize="0" print="0" autoFill="0" autoPict="0" macro="[0]!Add_Laundry_Efficiency_Row">
                <anchor moveWithCells="1" sizeWithCells="1">
                  <from>
                    <xdr:col>0</xdr:col>
                    <xdr:colOff>91440</xdr:colOff>
                    <xdr:row>18</xdr:row>
                    <xdr:rowOff>213360</xdr:rowOff>
                  </from>
                  <to>
                    <xdr:col>0</xdr:col>
                    <xdr:colOff>1036320</xdr:colOff>
                    <xdr:row>20</xdr:row>
                    <xdr:rowOff>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H32"/>
  <sheetViews>
    <sheetView topLeftCell="A4" workbookViewId="0">
      <selection activeCell="D8" sqref="D8"/>
    </sheetView>
  </sheetViews>
  <sheetFormatPr defaultRowHeight="13.8"/>
  <cols>
    <col min="1" max="1" width="12.5" style="93" customWidth="1"/>
    <col min="2" max="2" width="25.5" style="93" customWidth="1"/>
    <col min="3" max="5" width="26" style="93" customWidth="1"/>
    <col min="6" max="6" width="18" style="93" customWidth="1"/>
    <col min="7" max="16384" width="8.796875" style="93"/>
  </cols>
  <sheetData>
    <row r="1" spans="1:8" ht="17.399999999999999">
      <c r="A1" s="91" t="s">
        <v>134</v>
      </c>
      <c r="B1" s="92" t="s">
        <v>163</v>
      </c>
      <c r="C1" s="832">
        <f>F20</f>
        <v>0</v>
      </c>
      <c r="D1" s="832"/>
      <c r="E1" s="92" t="s">
        <v>317</v>
      </c>
      <c r="F1" s="92">
        <f>IF('Project Info'!$C$8="New Hotel",1,1)</f>
        <v>1</v>
      </c>
    </row>
    <row r="2" spans="1:8" ht="26.4" customHeight="1">
      <c r="A2" s="94"/>
      <c r="B2" s="532" t="s">
        <v>63</v>
      </c>
      <c r="C2" s="532"/>
      <c r="D2" s="532"/>
      <c r="E2" s="95"/>
      <c r="F2" s="95" t="s">
        <v>62</v>
      </c>
    </row>
    <row r="3" spans="1:8" ht="15.6">
      <c r="A3" s="94"/>
      <c r="B3" s="96" t="s">
        <v>5</v>
      </c>
      <c r="C3" s="97"/>
      <c r="D3" s="97"/>
      <c r="E3" s="97"/>
      <c r="F3" s="97" t="str">
        <f>HYPERLINK("#'Checklist'!A1","Go To Checklist")</f>
        <v>Go To Checklist</v>
      </c>
    </row>
    <row r="4" spans="1:8" ht="51.6" customHeight="1">
      <c r="A4" s="94"/>
      <c r="B4" s="533" t="s">
        <v>710</v>
      </c>
      <c r="C4" s="534"/>
      <c r="D4" s="534"/>
      <c r="E4" s="534"/>
      <c r="F4" s="535"/>
    </row>
    <row r="5" spans="1:8" ht="15.6" customHeight="1">
      <c r="A5" s="94"/>
      <c r="B5" s="528" t="s">
        <v>1554</v>
      </c>
      <c r="C5" s="528"/>
      <c r="D5" s="528"/>
      <c r="E5" s="528"/>
      <c r="F5" s="528"/>
    </row>
    <row r="6" spans="1:8" ht="15.6">
      <c r="A6" s="94"/>
      <c r="B6" s="839" t="s">
        <v>636</v>
      </c>
      <c r="C6" s="839"/>
      <c r="D6" s="839"/>
      <c r="E6" s="839"/>
      <c r="F6" s="839"/>
    </row>
    <row r="7" spans="1:8" ht="27.6">
      <c r="A7" s="94"/>
      <c r="B7" s="370" t="s">
        <v>1523</v>
      </c>
      <c r="C7" s="370" t="s">
        <v>1413</v>
      </c>
      <c r="D7" s="370" t="s">
        <v>1525</v>
      </c>
      <c r="E7" s="370" t="s">
        <v>1526</v>
      </c>
      <c r="F7" s="370" t="s">
        <v>1493</v>
      </c>
    </row>
    <row r="8" spans="1:8" ht="19.95" customHeight="1">
      <c r="A8" s="94"/>
      <c r="B8" s="367"/>
      <c r="C8" s="383" t="s">
        <v>1524</v>
      </c>
      <c r="D8" s="383"/>
      <c r="E8" s="425"/>
      <c r="F8" s="434" t="str">
        <f>IF(C8="","",IF(C8="Under Counter/ Hood Type",IF(D8="","",IF(D8&lt;=0.35,"Compliant","Not Compliant")),IF(C8="Conveyor Type",IF(D8="","",IF(D8&lt;=0.36,"Compliant","Not Compliant")),IF(C8="Pot &amp; Pan Utensil Washer",IF(OR(D8="",E8=""),"",IF(D8&lt;=0.55+0.05*E8,"Compliant","Not Compliant")),""))))</f>
        <v/>
      </c>
    </row>
    <row r="9" spans="1:8" ht="19.95" customHeight="1">
      <c r="A9" s="94"/>
      <c r="B9" s="367"/>
      <c r="C9" s="383"/>
      <c r="D9" s="383"/>
      <c r="E9" s="425"/>
      <c r="F9" s="434" t="str">
        <f t="shared" ref="F9:F19" si="0">IF(C9="","",IF(C9="Under Counter/ Hood Type",IF(D9="","",IF(D9&lt;=0.35,"Compliant","Not Compliant")),IF(C9="Conveyor Type",IF(D9="","",IF(D9&lt;=0.36,"Compliant","Not Compliant")),IF(C9="Pot &amp; Pan Utensil Washer",IF(OR(D9="",E9=""),"",IF(D9&lt;=0.55+0.05*E9,"Compliant","Not Compliant")),""))))</f>
        <v/>
      </c>
    </row>
    <row r="10" spans="1:8" ht="19.95" customHeight="1">
      <c r="A10" s="94"/>
      <c r="B10" s="367"/>
      <c r="C10" s="383"/>
      <c r="D10" s="383"/>
      <c r="E10" s="425"/>
      <c r="F10" s="434" t="str">
        <f>IF(C10="","",IF(C10="Under Counter/ Hood Type",IF(D10="","",IF(D10&lt;=0.35,"Compliant","Not Compliant")),IF(C10="Conveyor Type",IF(D10="","",IF(D10&lt;=0.36,"Compliant","Not Compliant")),IF(C10="Pot &amp; Pan Utensil Washer",IF(OR(D10="",E10=""),"",IF(D10&lt;=0.55+0.05*E10,"Compliant","Not Compliant")),""))))</f>
        <v/>
      </c>
    </row>
    <row r="11" spans="1:8" ht="19.95" customHeight="1">
      <c r="A11" s="94"/>
      <c r="B11" s="411"/>
      <c r="C11" s="383"/>
      <c r="D11" s="383"/>
      <c r="E11" s="425"/>
      <c r="F11" s="434" t="str">
        <f t="shared" si="0"/>
        <v/>
      </c>
      <c r="H11"/>
    </row>
    <row r="12" spans="1:8" ht="19.95" customHeight="1">
      <c r="A12" s="94"/>
      <c r="B12" s="367"/>
      <c r="C12" s="383"/>
      <c r="D12" s="383"/>
      <c r="E12" s="425"/>
      <c r="F12" s="434" t="str">
        <f t="shared" si="0"/>
        <v/>
      </c>
    </row>
    <row r="13" spans="1:8" ht="19.95" customHeight="1">
      <c r="A13" s="94"/>
      <c r="B13" s="367"/>
      <c r="C13" s="383"/>
      <c r="D13" s="383"/>
      <c r="E13" s="425"/>
      <c r="F13" s="434" t="str">
        <f t="shared" si="0"/>
        <v/>
      </c>
    </row>
    <row r="14" spans="1:8" ht="19.95" customHeight="1">
      <c r="A14" s="94"/>
      <c r="B14" s="367"/>
      <c r="C14" s="383"/>
      <c r="D14" s="383"/>
      <c r="E14" s="425"/>
      <c r="F14" s="434" t="str">
        <f t="shared" si="0"/>
        <v/>
      </c>
    </row>
    <row r="15" spans="1:8" ht="19.95" customHeight="1">
      <c r="A15" s="94"/>
      <c r="B15" s="367"/>
      <c r="C15" s="383"/>
      <c r="D15" s="383"/>
      <c r="E15" s="425"/>
      <c r="F15" s="434" t="str">
        <f t="shared" si="0"/>
        <v/>
      </c>
    </row>
    <row r="16" spans="1:8" ht="19.95" customHeight="1">
      <c r="A16" s="94"/>
      <c r="B16" s="367"/>
      <c r="C16" s="383"/>
      <c r="D16" s="383"/>
      <c r="E16" s="425"/>
      <c r="F16" s="434" t="str">
        <f t="shared" si="0"/>
        <v/>
      </c>
    </row>
    <row r="17" spans="1:6" ht="19.95" customHeight="1">
      <c r="A17" s="94"/>
      <c r="B17" s="367"/>
      <c r="C17" s="383"/>
      <c r="D17" s="383"/>
      <c r="E17" s="425"/>
      <c r="F17" s="434" t="str">
        <f t="shared" si="0"/>
        <v/>
      </c>
    </row>
    <row r="18" spans="1:6" ht="19.95" customHeight="1">
      <c r="A18" s="94"/>
      <c r="B18" s="367"/>
      <c r="C18" s="383"/>
      <c r="D18" s="383"/>
      <c r="E18" s="425"/>
      <c r="F18" s="434" t="str">
        <f t="shared" si="0"/>
        <v/>
      </c>
    </row>
    <row r="19" spans="1:6" ht="19.95" customHeight="1">
      <c r="A19" s="94"/>
      <c r="B19" s="367"/>
      <c r="C19" s="383"/>
      <c r="D19" s="383"/>
      <c r="E19" s="425"/>
      <c r="F19" s="434" t="str">
        <f t="shared" si="0"/>
        <v/>
      </c>
    </row>
    <row r="20" spans="1:6">
      <c r="A20" s="94"/>
      <c r="B20" s="145" t="s">
        <v>329</v>
      </c>
      <c r="C20" s="585" t="s">
        <v>1527</v>
      </c>
      <c r="D20" s="585"/>
      <c r="E20" s="146" t="s">
        <v>603</v>
      </c>
      <c r="F20" s="14">
        <f>IF(COUNTIF(F8:F19,"Not Compliant")&gt;0,0,IF(COUNTIF(F8:F19,"Compliant")&gt;0,1,0))</f>
        <v>0</v>
      </c>
    </row>
    <row r="21" spans="1:6" ht="17.399999999999999">
      <c r="B21" s="97"/>
      <c r="C21" s="97"/>
      <c r="D21" s="97"/>
      <c r="E21" s="97"/>
      <c r="F21" s="310"/>
    </row>
    <row r="22" spans="1:6">
      <c r="B22" s="539" t="s">
        <v>63</v>
      </c>
      <c r="C22" s="539"/>
      <c r="D22" s="275" t="s">
        <v>189</v>
      </c>
      <c r="E22" s="275"/>
      <c r="F22" s="8">
        <f>C1</f>
        <v>0</v>
      </c>
    </row>
    <row r="23" spans="1:6" ht="14.4">
      <c r="A23" s="209"/>
      <c r="B23" s="97"/>
      <c r="C23" s="97"/>
      <c r="D23" s="97"/>
      <c r="E23" s="97"/>
      <c r="F23" s="97"/>
    </row>
    <row r="24" spans="1:6" ht="14.4">
      <c r="A24" s="209"/>
      <c r="B24" s="537" t="s">
        <v>146</v>
      </c>
      <c r="C24" s="537"/>
      <c r="D24" s="537"/>
      <c r="E24" s="537"/>
      <c r="F24" s="537"/>
    </row>
    <row r="25" spans="1:6" ht="17.399999999999999">
      <c r="A25" s="209"/>
      <c r="B25" s="538" t="s">
        <v>677</v>
      </c>
      <c r="C25" s="538"/>
      <c r="D25" s="538"/>
      <c r="E25" s="97"/>
      <c r="F25" s="101" t="s">
        <v>139</v>
      </c>
    </row>
    <row r="26" spans="1:6" ht="17.399999999999999">
      <c r="A26" s="209"/>
      <c r="B26" s="560" t="s">
        <v>678</v>
      </c>
      <c r="C26" s="560"/>
      <c r="D26" s="560"/>
      <c r="E26" s="104"/>
      <c r="F26" s="101" t="s">
        <v>139</v>
      </c>
    </row>
    <row r="27" spans="1:6" ht="17.399999999999999">
      <c r="A27" s="209"/>
      <c r="B27" s="560" t="s">
        <v>679</v>
      </c>
      <c r="C27" s="560"/>
      <c r="D27" s="560"/>
      <c r="E27" s="104"/>
      <c r="F27" s="101" t="s">
        <v>139</v>
      </c>
    </row>
    <row r="28" spans="1:6" ht="14.4">
      <c r="A28" s="209"/>
      <c r="B28" s="531" t="s">
        <v>147</v>
      </c>
      <c r="C28" s="531"/>
      <c r="D28" s="531"/>
      <c r="E28" s="531"/>
      <c r="F28" s="531"/>
    </row>
    <row r="29" spans="1:6" ht="14.4">
      <c r="A29" s="209"/>
      <c r="B29" s="97"/>
      <c r="C29" s="97"/>
      <c r="D29" s="97"/>
      <c r="E29" s="97"/>
      <c r="F29" s="97"/>
    </row>
    <row r="30" spans="1:6">
      <c r="B30" s="97"/>
      <c r="C30" s="97"/>
      <c r="D30" s="97"/>
      <c r="E30" s="97"/>
      <c r="F30" s="97"/>
    </row>
    <row r="31" spans="1:6">
      <c r="B31" s="97"/>
      <c r="C31" s="97"/>
      <c r="D31" s="97"/>
      <c r="E31" s="97"/>
      <c r="F31" s="97"/>
    </row>
    <row r="32" spans="1:6">
      <c r="B32" s="97"/>
      <c r="C32" s="97"/>
      <c r="D32" s="97"/>
      <c r="E32" s="97"/>
      <c r="F32" s="97"/>
    </row>
  </sheetData>
  <mergeCells count="12">
    <mergeCell ref="C1:D1"/>
    <mergeCell ref="C20:D20"/>
    <mergeCell ref="B2:D2"/>
    <mergeCell ref="B4:F4"/>
    <mergeCell ref="B28:F28"/>
    <mergeCell ref="B25:D25"/>
    <mergeCell ref="B5:F5"/>
    <mergeCell ref="B24:F24"/>
    <mergeCell ref="B22:C22"/>
    <mergeCell ref="B6:F6"/>
    <mergeCell ref="B27:D27"/>
    <mergeCell ref="B26:D26"/>
  </mergeCells>
  <dataValidations count="4">
    <dataValidation type="decimal" sqref="C1" xr:uid="{00000000-0002-0000-1C00-000000000000}">
      <formula1>0</formula1>
      <formula2>1</formula2>
    </dataValidation>
    <dataValidation type="list" sqref="A1 F25:F27 F21" xr:uid="{00000000-0002-0000-1C00-000001000000}">
      <formula1>"☐,☑"</formula1>
    </dataValidation>
    <dataValidation sqref="F7" xr:uid="{E75F9F1A-3BB5-45CA-A4B7-51647D2F1BB9}"/>
    <dataValidation type="list" allowBlank="1" showInputMessage="1" showErrorMessage="1" sqref="C8:C19" xr:uid="{617D2CAD-4196-488A-AAB7-CC5F51932DF2}">
      <formula1>"Under Counter/ Hood Type, Conveyor Type, Pot &amp; Pan Utensil Washer"</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81922" r:id="rId3" name="Button 2">
              <controlPr defaultSize="0" print="0" autoFill="0" autoPict="0" macro="[0]!Module11.Add_Dishwasher_Row">
                <anchor moveWithCells="1" sizeWithCells="1">
                  <from>
                    <xdr:col>0</xdr:col>
                    <xdr:colOff>60960</xdr:colOff>
                    <xdr:row>18</xdr:row>
                    <xdr:rowOff>7620</xdr:rowOff>
                  </from>
                  <to>
                    <xdr:col>1</xdr:col>
                    <xdr:colOff>0</xdr:colOff>
                    <xdr:row>19</xdr:row>
                    <xdr:rowOff>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E29"/>
  <sheetViews>
    <sheetView workbookViewId="0">
      <selection activeCell="I7" sqref="I7"/>
    </sheetView>
  </sheetViews>
  <sheetFormatPr defaultRowHeight="13.8"/>
  <cols>
    <col min="1" max="1" width="6" style="93" customWidth="1"/>
    <col min="2" max="2" width="39" style="93" customWidth="1"/>
    <col min="3" max="4" width="26" style="93" customWidth="1"/>
    <col min="5" max="5" width="18" style="93" customWidth="1"/>
    <col min="6" max="16384" width="8.796875" style="93"/>
  </cols>
  <sheetData>
    <row r="1" spans="1:5" ht="17.399999999999999">
      <c r="A1" s="91" t="s">
        <v>134</v>
      </c>
      <c r="B1" s="92" t="s">
        <v>163</v>
      </c>
      <c r="C1" s="9">
        <f>IFERROR(E15,0)</f>
        <v>0</v>
      </c>
      <c r="D1" s="92" t="s">
        <v>317</v>
      </c>
      <c r="E1" s="92">
        <f>IF('Project Info'!$C$8="New Hotel",2,2)</f>
        <v>2</v>
      </c>
    </row>
    <row r="2" spans="1:5" ht="21">
      <c r="A2" s="94"/>
      <c r="B2" s="95" t="s">
        <v>65</v>
      </c>
      <c r="C2" s="95"/>
      <c r="D2" s="95"/>
      <c r="E2" s="95" t="s">
        <v>64</v>
      </c>
    </row>
    <row r="3" spans="1:5" ht="15.6">
      <c r="A3" s="94"/>
      <c r="B3" s="96" t="s">
        <v>5</v>
      </c>
      <c r="C3" s="97"/>
      <c r="D3" s="97"/>
      <c r="E3" s="97" t="str">
        <f>HYPERLINK("#'Checklist'!A1","Go To Checklist")</f>
        <v>Go To Checklist</v>
      </c>
    </row>
    <row r="4" spans="1:5" ht="45.6" customHeight="1">
      <c r="A4" s="94"/>
      <c r="B4" s="533" t="s">
        <v>710</v>
      </c>
      <c r="C4" s="534"/>
      <c r="D4" s="534"/>
      <c r="E4" s="535"/>
    </row>
    <row r="5" spans="1:5" ht="15.45" customHeight="1">
      <c r="A5" s="94"/>
      <c r="B5" s="528" t="s">
        <v>1554</v>
      </c>
      <c r="C5" s="528"/>
      <c r="D5" s="528"/>
      <c r="E5" s="528"/>
    </row>
    <row r="6" spans="1:5" ht="18.600000000000001" customHeight="1">
      <c r="A6" s="94"/>
      <c r="B6" s="529" t="s">
        <v>1529</v>
      </c>
      <c r="C6" s="529"/>
      <c r="D6" s="529"/>
      <c r="E6" s="529"/>
    </row>
    <row r="7" spans="1:5">
      <c r="A7" s="94"/>
      <c r="B7" s="165" t="s">
        <v>940</v>
      </c>
      <c r="C7" s="762"/>
      <c r="D7" s="762"/>
      <c r="E7" s="167" t="s">
        <v>137</v>
      </c>
    </row>
    <row r="8" spans="1:5" ht="17.399999999999999">
      <c r="A8" s="94"/>
      <c r="B8" s="147" t="s">
        <v>341</v>
      </c>
      <c r="C8" s="855" t="s">
        <v>285</v>
      </c>
      <c r="D8" s="856"/>
      <c r="E8" s="243" t="s">
        <v>139</v>
      </c>
    </row>
    <row r="9" spans="1:5" ht="17.399999999999999">
      <c r="A9" s="94"/>
      <c r="B9" s="147" t="s">
        <v>637</v>
      </c>
      <c r="C9" s="857"/>
      <c r="D9" s="858"/>
      <c r="E9" s="243" t="s">
        <v>139</v>
      </c>
    </row>
    <row r="10" spans="1:5" ht="17.399999999999999">
      <c r="A10" s="94"/>
      <c r="B10" s="147" t="s">
        <v>638</v>
      </c>
      <c r="C10" s="857"/>
      <c r="D10" s="858"/>
      <c r="E10" s="243" t="s">
        <v>139</v>
      </c>
    </row>
    <row r="11" spans="1:5" ht="17.399999999999999">
      <c r="A11" s="94"/>
      <c r="B11" s="147" t="s">
        <v>639</v>
      </c>
      <c r="C11" s="857"/>
      <c r="D11" s="858"/>
      <c r="E11" s="243" t="s">
        <v>139</v>
      </c>
    </row>
    <row r="12" spans="1:5" ht="17.399999999999999">
      <c r="A12" s="94"/>
      <c r="B12" s="147" t="s">
        <v>640</v>
      </c>
      <c r="C12" s="857"/>
      <c r="D12" s="858"/>
      <c r="E12" s="243" t="s">
        <v>139</v>
      </c>
    </row>
    <row r="13" spans="1:5" ht="17.399999999999999">
      <c r="A13" s="94"/>
      <c r="B13" s="147" t="s">
        <v>641</v>
      </c>
      <c r="C13" s="859"/>
      <c r="D13" s="860"/>
      <c r="E13" s="243" t="s">
        <v>139</v>
      </c>
    </row>
    <row r="14" spans="1:5" ht="17.399999999999999">
      <c r="A14" s="94"/>
      <c r="B14" s="147" t="s">
        <v>1528</v>
      </c>
      <c r="C14" s="621"/>
      <c r="D14" s="621"/>
      <c r="E14" s="243" t="s">
        <v>139</v>
      </c>
    </row>
    <row r="15" spans="1:5" ht="25.2" customHeight="1">
      <c r="A15" s="94"/>
      <c r="B15" s="145" t="s">
        <v>329</v>
      </c>
      <c r="C15" s="436" t="s">
        <v>706</v>
      </c>
      <c r="D15" s="146" t="s">
        <v>603</v>
      </c>
      <c r="E15" s="14">
        <f>IF(COUNTIF(E8:E14,"☑")&gt;=2,2,0)</f>
        <v>0</v>
      </c>
    </row>
    <row r="16" spans="1:5">
      <c r="A16" s="94"/>
      <c r="B16" s="136"/>
      <c r="C16" s="437"/>
      <c r="D16" s="124"/>
      <c r="E16" s="124"/>
    </row>
    <row r="17" spans="1:5">
      <c r="A17" s="94"/>
      <c r="B17" s="539" t="s">
        <v>65</v>
      </c>
      <c r="C17" s="539"/>
      <c r="D17" s="275" t="s">
        <v>189</v>
      </c>
      <c r="E17" s="8">
        <f>C1</f>
        <v>0</v>
      </c>
    </row>
    <row r="18" spans="1:5" ht="17.399999999999999" customHeight="1">
      <c r="A18" s="94"/>
      <c r="B18" s="97"/>
      <c r="C18" s="97"/>
      <c r="D18" s="97"/>
      <c r="E18" s="97"/>
    </row>
    <row r="19" spans="1:5" ht="17.399999999999999" customHeight="1">
      <c r="A19" s="94"/>
      <c r="B19" s="537" t="s">
        <v>146</v>
      </c>
      <c r="C19" s="537"/>
      <c r="D19" s="537"/>
      <c r="E19" s="537"/>
    </row>
    <row r="20" spans="1:5" ht="17.399999999999999" customHeight="1">
      <c r="A20" s="103"/>
      <c r="B20" s="538" t="s">
        <v>680</v>
      </c>
      <c r="C20" s="538"/>
      <c r="D20" s="538"/>
      <c r="E20" s="101" t="s">
        <v>139</v>
      </c>
    </row>
    <row r="21" spans="1:5" ht="17.399999999999999" customHeight="1">
      <c r="A21" s="103"/>
      <c r="B21" s="538" t="s">
        <v>681</v>
      </c>
      <c r="C21" s="538"/>
      <c r="D21" s="538"/>
      <c r="E21" s="101" t="s">
        <v>139</v>
      </c>
    </row>
    <row r="22" spans="1:5" ht="16.2" customHeight="1">
      <c r="A22" s="103"/>
      <c r="B22" s="560" t="s">
        <v>682</v>
      </c>
      <c r="C22" s="560"/>
      <c r="D22" s="560"/>
      <c r="E22" s="101" t="s">
        <v>139</v>
      </c>
    </row>
    <row r="23" spans="1:5" ht="16.2" customHeight="1">
      <c r="A23" s="103"/>
      <c r="B23" s="560" t="s">
        <v>683</v>
      </c>
      <c r="C23" s="560"/>
      <c r="D23" s="560"/>
      <c r="E23" s="101" t="s">
        <v>139</v>
      </c>
    </row>
    <row r="24" spans="1:5" ht="14.4" customHeight="1">
      <c r="A24" s="103"/>
      <c r="B24" s="531" t="s">
        <v>147</v>
      </c>
      <c r="C24" s="531"/>
      <c r="D24" s="531"/>
      <c r="E24" s="531"/>
    </row>
    <row r="25" spans="1:5" ht="14.4">
      <c r="A25" s="103"/>
      <c r="B25" s="97"/>
      <c r="C25" s="97"/>
      <c r="D25" s="97"/>
      <c r="E25" s="97"/>
    </row>
    <row r="26" spans="1:5" ht="14.4">
      <c r="A26" s="103"/>
      <c r="B26" s="97"/>
      <c r="C26" s="97"/>
      <c r="D26" s="97"/>
      <c r="E26" s="97"/>
    </row>
    <row r="27" spans="1:5" ht="14.4">
      <c r="A27" s="103"/>
      <c r="B27" s="97"/>
      <c r="C27" s="97"/>
      <c r="D27" s="97"/>
      <c r="E27" s="97"/>
    </row>
    <row r="28" spans="1:5">
      <c r="B28" s="97"/>
      <c r="C28" s="97"/>
      <c r="D28" s="97"/>
      <c r="E28" s="97"/>
    </row>
    <row r="29" spans="1:5">
      <c r="B29" s="97"/>
      <c r="C29" s="97"/>
      <c r="D29" s="97"/>
      <c r="E29" s="97"/>
    </row>
  </sheetData>
  <sheetProtection sheet="1" objects="1" scenarios="1"/>
  <mergeCells count="13">
    <mergeCell ref="B4:E4"/>
    <mergeCell ref="C7:D7"/>
    <mergeCell ref="C14:D14"/>
    <mergeCell ref="C8:D13"/>
    <mergeCell ref="B24:E24"/>
    <mergeCell ref="B20:D20"/>
    <mergeCell ref="B21:D21"/>
    <mergeCell ref="B5:E5"/>
    <mergeCell ref="B19:E19"/>
    <mergeCell ref="B17:C17"/>
    <mergeCell ref="B6:E6"/>
    <mergeCell ref="B22:D22"/>
    <mergeCell ref="B23:D23"/>
  </mergeCells>
  <dataValidations count="2">
    <dataValidation type="decimal" sqref="C1" xr:uid="{00000000-0002-0000-1D00-000000000000}">
      <formula1>0</formula1>
      <formula2>2</formula2>
    </dataValidation>
    <dataValidation type="list" sqref="A1 E20:E23 E8:E14" xr:uid="{00000000-0002-0000-1D00-000001000000}">
      <formula1>"☐,☑"</formula1>
    </dataValidation>
  </dataValidation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E22"/>
  <sheetViews>
    <sheetView workbookViewId="0">
      <selection activeCell="F14" sqref="F14"/>
    </sheetView>
  </sheetViews>
  <sheetFormatPr defaultRowHeight="13.8"/>
  <cols>
    <col min="1" max="1" width="7" style="93" customWidth="1"/>
    <col min="2" max="2" width="41.3984375" style="93" customWidth="1"/>
    <col min="3" max="3" width="28" style="93" customWidth="1"/>
    <col min="4" max="4" width="25.59765625" style="93" customWidth="1"/>
    <col min="5" max="5" width="20.796875" style="93" customWidth="1"/>
    <col min="6" max="16384" width="8.796875" style="93"/>
  </cols>
  <sheetData>
    <row r="1" spans="1:5" ht="17.399999999999999">
      <c r="A1" s="91" t="s">
        <v>134</v>
      </c>
      <c r="B1" s="92" t="s">
        <v>163</v>
      </c>
      <c r="C1" s="9">
        <f>SUM(E7+E11)</f>
        <v>0</v>
      </c>
      <c r="D1" s="92" t="s">
        <v>317</v>
      </c>
      <c r="E1" s="92">
        <f>IF('Project Info'!$C$8="New Hotel",0,2)</f>
        <v>2</v>
      </c>
    </row>
    <row r="2" spans="1:5" ht="21">
      <c r="A2" s="94"/>
      <c r="B2" s="95" t="s">
        <v>67</v>
      </c>
      <c r="C2" s="95"/>
      <c r="D2" s="95"/>
      <c r="E2" s="95" t="s">
        <v>66</v>
      </c>
    </row>
    <row r="3" spans="1:5" ht="15.6">
      <c r="A3" s="94"/>
      <c r="B3" s="96" t="s">
        <v>5</v>
      </c>
      <c r="C3" s="97"/>
      <c r="D3" s="97"/>
      <c r="E3" s="97" t="str">
        <f>HYPERLINK("#'Checklist'!A1","Go To Checklist")</f>
        <v>Go To Checklist</v>
      </c>
    </row>
    <row r="4" spans="1:5" ht="15.6">
      <c r="A4" s="94"/>
      <c r="B4" s="562" t="s">
        <v>1554</v>
      </c>
      <c r="C4" s="562"/>
      <c r="D4" s="562"/>
      <c r="E4" s="98" t="s">
        <v>137</v>
      </c>
    </row>
    <row r="5" spans="1:5" ht="15.6">
      <c r="A5" s="94"/>
      <c r="B5" s="228" t="s">
        <v>1530</v>
      </c>
      <c r="C5" s="228"/>
      <c r="D5" s="228"/>
      <c r="E5" s="229"/>
    </row>
    <row r="6" spans="1:5" ht="28.95" customHeight="1">
      <c r="A6" s="94"/>
      <c r="B6" s="861" t="s">
        <v>1531</v>
      </c>
      <c r="C6" s="861"/>
      <c r="D6" s="861"/>
      <c r="E6" s="366" t="s">
        <v>139</v>
      </c>
    </row>
    <row r="7" spans="1:5" ht="31.8" customHeight="1">
      <c r="A7" s="94"/>
      <c r="B7" s="145" t="s">
        <v>329</v>
      </c>
      <c r="C7" s="436" t="s">
        <v>1653</v>
      </c>
      <c r="D7" s="146" t="s">
        <v>603</v>
      </c>
      <c r="E7" s="14">
        <f>IF(E6="☑",1,0)</f>
        <v>0</v>
      </c>
    </row>
    <row r="8" spans="1:5" ht="16.2" customHeight="1">
      <c r="A8" s="94"/>
      <c r="B8" s="616" t="s">
        <v>970</v>
      </c>
      <c r="C8" s="616"/>
      <c r="D8" s="616"/>
      <c r="E8" s="616"/>
    </row>
    <row r="9" spans="1:5" ht="17.399999999999999">
      <c r="A9" s="94"/>
      <c r="B9" s="228" t="s">
        <v>1532</v>
      </c>
      <c r="C9" s="233"/>
      <c r="D9" s="233"/>
      <c r="E9" s="231"/>
    </row>
    <row r="10" spans="1:5" ht="17.399999999999999">
      <c r="A10" s="94"/>
      <c r="B10" s="861" t="s">
        <v>1654</v>
      </c>
      <c r="C10" s="861"/>
      <c r="D10" s="861"/>
      <c r="E10" s="366" t="s">
        <v>139</v>
      </c>
    </row>
    <row r="11" spans="1:5">
      <c r="A11" s="94"/>
      <c r="B11" s="145" t="s">
        <v>329</v>
      </c>
      <c r="C11" s="436" t="s">
        <v>1655</v>
      </c>
      <c r="D11" s="146" t="s">
        <v>603</v>
      </c>
      <c r="E11" s="14">
        <f>IF(E10="☑",1,0)</f>
        <v>0</v>
      </c>
    </row>
    <row r="12" spans="1:5" ht="17.399999999999999">
      <c r="A12" s="94"/>
      <c r="B12" s="97"/>
      <c r="C12" s="97"/>
      <c r="D12" s="97"/>
      <c r="E12" s="101"/>
    </row>
    <row r="13" spans="1:5">
      <c r="A13" s="94"/>
      <c r="B13" s="539" t="s">
        <v>67</v>
      </c>
      <c r="C13" s="539"/>
      <c r="D13" s="275" t="s">
        <v>189</v>
      </c>
      <c r="E13" s="8">
        <f>C1</f>
        <v>0</v>
      </c>
    </row>
    <row r="14" spans="1:5" ht="14.4">
      <c r="A14" s="103"/>
      <c r="B14" s="97"/>
      <c r="C14" s="97"/>
      <c r="D14" s="97"/>
      <c r="E14" s="97"/>
    </row>
    <row r="15" spans="1:5" ht="14.4">
      <c r="A15" s="103"/>
      <c r="B15" s="537" t="s">
        <v>146</v>
      </c>
      <c r="C15" s="537"/>
      <c r="D15" s="537"/>
      <c r="E15" s="537"/>
    </row>
    <row r="16" spans="1:5" ht="17.399999999999999">
      <c r="A16" s="103"/>
      <c r="B16" s="560" t="s">
        <v>684</v>
      </c>
      <c r="C16" s="560"/>
      <c r="D16" s="560"/>
      <c r="E16" s="101" t="s">
        <v>139</v>
      </c>
    </row>
    <row r="17" spans="1:5" ht="17.399999999999999">
      <c r="A17" s="103"/>
      <c r="B17" s="560" t="s">
        <v>685</v>
      </c>
      <c r="C17" s="560"/>
      <c r="D17" s="560"/>
      <c r="E17" s="101" t="s">
        <v>139</v>
      </c>
    </row>
    <row r="18" spans="1:5" ht="17.399999999999999">
      <c r="A18" s="103"/>
      <c r="B18" s="560" t="s">
        <v>686</v>
      </c>
      <c r="C18" s="560"/>
      <c r="D18" s="560"/>
      <c r="E18" s="101" t="s">
        <v>139</v>
      </c>
    </row>
    <row r="19" spans="1:5" ht="14.4">
      <c r="A19" s="103"/>
      <c r="B19" s="531" t="s">
        <v>147</v>
      </c>
      <c r="C19" s="531"/>
      <c r="D19" s="531"/>
      <c r="E19" s="531"/>
    </row>
    <row r="20" spans="1:5" ht="14.4">
      <c r="A20" s="103"/>
      <c r="B20" s="97"/>
      <c r="C20" s="97"/>
      <c r="D20" s="97"/>
      <c r="E20" s="97"/>
    </row>
    <row r="21" spans="1:5">
      <c r="B21" s="97"/>
      <c r="C21" s="97"/>
      <c r="D21" s="97"/>
      <c r="E21" s="97"/>
    </row>
    <row r="22" spans="1:5">
      <c r="B22" s="97"/>
      <c r="C22" s="97"/>
      <c r="D22" s="97"/>
      <c r="E22" s="97"/>
    </row>
  </sheetData>
  <sheetProtection sheet="1" objects="1" scenarios="1"/>
  <mergeCells count="10">
    <mergeCell ref="B19:E19"/>
    <mergeCell ref="B15:E15"/>
    <mergeCell ref="B4:D4"/>
    <mergeCell ref="B6:D6"/>
    <mergeCell ref="B10:D10"/>
    <mergeCell ref="B13:C13"/>
    <mergeCell ref="B16:D16"/>
    <mergeCell ref="B17:D17"/>
    <mergeCell ref="B18:D18"/>
    <mergeCell ref="B8:E8"/>
  </mergeCells>
  <dataValidations count="2">
    <dataValidation type="decimal" sqref="C1" xr:uid="{00000000-0002-0000-1E00-000000000000}">
      <formula1>0</formula1>
      <formula2>2</formula2>
    </dataValidation>
    <dataValidation type="list" sqref="A1 E16:E18 E6 E9:E10 E12" xr:uid="{00000000-0002-0000-1E00-000001000000}">
      <formula1>"☐,☑"</formula1>
    </dataValidation>
  </dataValidation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E46"/>
  <sheetViews>
    <sheetView zoomScale="80" zoomScaleNormal="80" workbookViewId="0">
      <selection activeCell="H10" sqref="H10"/>
    </sheetView>
  </sheetViews>
  <sheetFormatPr defaultRowHeight="13.8"/>
  <cols>
    <col min="1" max="1" width="6" style="93" customWidth="1"/>
    <col min="2" max="2" width="39" style="93" customWidth="1"/>
    <col min="3" max="4" width="26" style="93" customWidth="1"/>
    <col min="5" max="5" width="18" style="93" customWidth="1"/>
    <col min="6" max="16384" width="8.796875" style="93"/>
  </cols>
  <sheetData>
    <row r="1" spans="1:5" ht="17.399999999999999">
      <c r="A1" s="91" t="s">
        <v>134</v>
      </c>
      <c r="B1" s="92" t="s">
        <v>163</v>
      </c>
      <c r="C1" s="9">
        <f>SUM(E19+E30)</f>
        <v>0</v>
      </c>
      <c r="D1" s="92" t="s">
        <v>317</v>
      </c>
      <c r="E1" s="92">
        <f>IF('Project Info'!$C$8="New Hotel",2,3)</f>
        <v>3</v>
      </c>
    </row>
    <row r="2" spans="1:5" ht="21">
      <c r="A2" s="94"/>
      <c r="B2" s="95" t="s">
        <v>69</v>
      </c>
      <c r="C2" s="95"/>
      <c r="D2" s="95"/>
      <c r="E2" s="95" t="s">
        <v>68</v>
      </c>
    </row>
    <row r="3" spans="1:5" ht="15.6">
      <c r="A3" s="94"/>
      <c r="B3" s="96" t="s">
        <v>5</v>
      </c>
      <c r="C3" s="97"/>
      <c r="D3" s="97"/>
      <c r="E3" s="97" t="str">
        <f>HYPERLINK("#'Checklist'!A1","Go To Checklist")</f>
        <v>Go To Checklist</v>
      </c>
    </row>
    <row r="4" spans="1:5" ht="54" customHeight="1">
      <c r="A4" s="94"/>
      <c r="B4" s="533" t="s">
        <v>710</v>
      </c>
      <c r="C4" s="534"/>
      <c r="D4" s="534"/>
      <c r="E4" s="535"/>
    </row>
    <row r="5" spans="1:5" ht="15.45" customHeight="1">
      <c r="A5" s="94"/>
      <c r="B5" s="528" t="s">
        <v>1554</v>
      </c>
      <c r="C5" s="528"/>
      <c r="D5" s="528"/>
      <c r="E5" s="528"/>
    </row>
    <row r="6" spans="1:5" ht="15.6">
      <c r="A6" s="94"/>
      <c r="B6" s="307" t="s">
        <v>642</v>
      </c>
      <c r="C6" s="307"/>
      <c r="D6" s="307"/>
      <c r="E6" s="307"/>
    </row>
    <row r="7" spans="1:5" ht="15" customHeight="1">
      <c r="A7" s="94"/>
      <c r="B7" s="839" t="s">
        <v>643</v>
      </c>
      <c r="C7" s="839"/>
      <c r="D7" s="839"/>
      <c r="E7" s="839"/>
    </row>
    <row r="8" spans="1:5">
      <c r="A8" s="94"/>
      <c r="B8" s="862" t="s">
        <v>940</v>
      </c>
      <c r="C8" s="863"/>
      <c r="D8" s="864"/>
      <c r="E8" s="167" t="s">
        <v>137</v>
      </c>
    </row>
    <row r="9" spans="1:5" ht="17.399999999999999">
      <c r="A9" s="94"/>
      <c r="B9" s="623" t="s">
        <v>644</v>
      </c>
      <c r="C9" s="623"/>
      <c r="D9" s="623"/>
      <c r="E9" s="243" t="s">
        <v>139</v>
      </c>
    </row>
    <row r="10" spans="1:5" ht="17.399999999999999">
      <c r="A10" s="94"/>
      <c r="B10" s="623" t="s">
        <v>645</v>
      </c>
      <c r="C10" s="623"/>
      <c r="D10" s="623"/>
      <c r="E10" s="243" t="s">
        <v>139</v>
      </c>
    </row>
    <row r="11" spans="1:5" ht="17.399999999999999">
      <c r="A11" s="94"/>
      <c r="B11" s="623" t="s">
        <v>646</v>
      </c>
      <c r="C11" s="623"/>
      <c r="D11" s="623"/>
      <c r="E11" s="243" t="s">
        <v>139</v>
      </c>
    </row>
    <row r="12" spans="1:5" ht="17.399999999999999">
      <c r="A12" s="94"/>
      <c r="B12" s="623" t="s">
        <v>647</v>
      </c>
      <c r="C12" s="623"/>
      <c r="D12" s="623"/>
      <c r="E12" s="243" t="s">
        <v>139</v>
      </c>
    </row>
    <row r="13" spans="1:5" ht="17.399999999999999">
      <c r="A13" s="94"/>
      <c r="B13" s="623" t="s">
        <v>648</v>
      </c>
      <c r="C13" s="623"/>
      <c r="D13" s="623"/>
      <c r="E13" s="243" t="s">
        <v>139</v>
      </c>
    </row>
    <row r="14" spans="1:5" ht="17.399999999999999">
      <c r="A14" s="94"/>
      <c r="B14" s="623" t="s">
        <v>649</v>
      </c>
      <c r="C14" s="623"/>
      <c r="D14" s="623"/>
      <c r="E14" s="243" t="s">
        <v>139</v>
      </c>
    </row>
    <row r="15" spans="1:5" ht="16.8" customHeight="1">
      <c r="A15" s="94"/>
      <c r="B15" s="623" t="s">
        <v>650</v>
      </c>
      <c r="C15" s="623"/>
      <c r="D15" s="623"/>
      <c r="E15" s="243" t="s">
        <v>139</v>
      </c>
    </row>
    <row r="16" spans="1:5" ht="17.399999999999999">
      <c r="A16" s="94"/>
      <c r="B16" s="623" t="s">
        <v>651</v>
      </c>
      <c r="C16" s="623"/>
      <c r="D16" s="623"/>
      <c r="E16" s="243" t="s">
        <v>139</v>
      </c>
    </row>
    <row r="17" spans="1:5" ht="17.399999999999999">
      <c r="A17" s="94"/>
      <c r="B17" s="623" t="s">
        <v>652</v>
      </c>
      <c r="C17" s="623"/>
      <c r="D17" s="623"/>
      <c r="E17" s="243" t="s">
        <v>139</v>
      </c>
    </row>
    <row r="18" spans="1:5" ht="27.6">
      <c r="A18" s="94"/>
      <c r="B18" s="147" t="s">
        <v>1533</v>
      </c>
      <c r="C18" s="634"/>
      <c r="D18" s="634"/>
      <c r="E18" s="243" t="s">
        <v>139</v>
      </c>
    </row>
    <row r="19" spans="1:5" ht="29.4" customHeight="1">
      <c r="A19" s="94"/>
      <c r="B19" s="145" t="s">
        <v>329</v>
      </c>
      <c r="C19" s="438" t="s">
        <v>1534</v>
      </c>
      <c r="D19" s="146" t="s">
        <v>603</v>
      </c>
      <c r="E19" s="14">
        <f>IF(COUNTIF(E9:E18,"☑")&gt;=3,1,0)</f>
        <v>0</v>
      </c>
    </row>
    <row r="20" spans="1:5" ht="16.8" customHeight="1">
      <c r="A20" s="94"/>
      <c r="B20" s="616" t="s">
        <v>970</v>
      </c>
      <c r="C20" s="616"/>
      <c r="D20" s="616"/>
      <c r="E20" s="616"/>
    </row>
    <row r="21" spans="1:5" ht="17.399999999999999">
      <c r="A21" s="94"/>
      <c r="B21" s="228" t="s">
        <v>653</v>
      </c>
      <c r="C21" s="439"/>
      <c r="D21" s="439"/>
      <c r="E21" s="440"/>
    </row>
    <row r="22" spans="1:5" ht="18" customHeight="1">
      <c r="A22" s="94"/>
      <c r="B22" s="529" t="s">
        <v>654</v>
      </c>
      <c r="C22" s="529"/>
      <c r="D22" s="529"/>
      <c r="E22" s="529"/>
    </row>
    <row r="23" spans="1:5" ht="18" customHeight="1">
      <c r="A23" s="94"/>
      <c r="B23" s="165" t="s">
        <v>940</v>
      </c>
      <c r="C23" s="762"/>
      <c r="D23" s="762"/>
      <c r="E23" s="167" t="s">
        <v>137</v>
      </c>
    </row>
    <row r="24" spans="1:5" ht="18" customHeight="1">
      <c r="A24" s="94"/>
      <c r="B24" s="206" t="s">
        <v>655</v>
      </c>
      <c r="C24" s="767"/>
      <c r="D24" s="768"/>
      <c r="E24" s="243" t="s">
        <v>139</v>
      </c>
    </row>
    <row r="25" spans="1:5" ht="18" customHeight="1">
      <c r="A25" s="94"/>
      <c r="B25" s="206" t="s">
        <v>656</v>
      </c>
      <c r="C25" s="769"/>
      <c r="D25" s="770"/>
      <c r="E25" s="243" t="s">
        <v>139</v>
      </c>
    </row>
    <row r="26" spans="1:5" ht="18" customHeight="1">
      <c r="A26" s="94"/>
      <c r="B26" s="206" t="s">
        <v>657</v>
      </c>
      <c r="C26" s="769"/>
      <c r="D26" s="770"/>
      <c r="E26" s="243" t="s">
        <v>139</v>
      </c>
    </row>
    <row r="27" spans="1:5" ht="18" customHeight="1">
      <c r="A27" s="94"/>
      <c r="B27" s="206" t="s">
        <v>658</v>
      </c>
      <c r="C27" s="769"/>
      <c r="D27" s="770"/>
      <c r="E27" s="243" t="s">
        <v>139</v>
      </c>
    </row>
    <row r="28" spans="1:5" ht="18" customHeight="1">
      <c r="A28" s="94"/>
      <c r="B28" s="206" t="s">
        <v>659</v>
      </c>
      <c r="C28" s="769"/>
      <c r="D28" s="770"/>
      <c r="E28" s="243" t="s">
        <v>139</v>
      </c>
    </row>
    <row r="29" spans="1:5" ht="18" customHeight="1">
      <c r="A29" s="94"/>
      <c r="B29" s="206" t="s">
        <v>660</v>
      </c>
      <c r="C29" s="771"/>
      <c r="D29" s="772"/>
      <c r="E29" s="243" t="s">
        <v>139</v>
      </c>
    </row>
    <row r="30" spans="1:5" ht="29.4" customHeight="1">
      <c r="A30" s="94"/>
      <c r="B30" s="145" t="s">
        <v>329</v>
      </c>
      <c r="C30" s="438" t="s">
        <v>1534</v>
      </c>
      <c r="D30" s="146" t="s">
        <v>603</v>
      </c>
      <c r="E30" s="14">
        <f>IF(COUNTIF(E23:E29,"☑")&gt;=3,1,0)</f>
        <v>0</v>
      </c>
    </row>
    <row r="31" spans="1:5" ht="29.4" customHeight="1">
      <c r="A31" s="94"/>
      <c r="B31" s="136"/>
      <c r="C31" s="438"/>
      <c r="D31" s="124"/>
      <c r="E31" s="124"/>
    </row>
    <row r="32" spans="1:5" ht="24.6" customHeight="1">
      <c r="A32" s="94"/>
      <c r="B32" s="844" t="s">
        <v>69</v>
      </c>
      <c r="C32" s="844"/>
      <c r="D32" s="431" t="s">
        <v>189</v>
      </c>
      <c r="E32" s="9">
        <f>C1</f>
        <v>0</v>
      </c>
    </row>
    <row r="33" spans="1:5" ht="13.8" customHeight="1">
      <c r="A33" s="94"/>
      <c r="B33" s="97"/>
      <c r="C33" s="97"/>
      <c r="D33" s="97"/>
      <c r="E33" s="97"/>
    </row>
    <row r="34" spans="1:5">
      <c r="A34" s="94"/>
      <c r="B34" s="537" t="s">
        <v>146</v>
      </c>
      <c r="C34" s="537"/>
      <c r="D34" s="537"/>
      <c r="E34" s="537"/>
    </row>
    <row r="35" spans="1:5" ht="17.399999999999999" customHeight="1">
      <c r="A35" s="94"/>
      <c r="B35" s="92" t="s">
        <v>687</v>
      </c>
      <c r="C35" s="92"/>
      <c r="D35" s="92"/>
      <c r="E35" s="92"/>
    </row>
    <row r="36" spans="1:5" ht="17.399999999999999" customHeight="1">
      <c r="A36" s="103"/>
      <c r="B36" s="538" t="s">
        <v>688</v>
      </c>
      <c r="C36" s="538"/>
      <c r="D36" s="538"/>
      <c r="E36" s="101" t="s">
        <v>139</v>
      </c>
    </row>
    <row r="37" spans="1:5" ht="17.399999999999999">
      <c r="A37" s="103"/>
      <c r="B37" s="538" t="s">
        <v>689</v>
      </c>
      <c r="C37" s="538"/>
      <c r="D37" s="538"/>
      <c r="E37" s="101" t="s">
        <v>139</v>
      </c>
    </row>
    <row r="38" spans="1:5" ht="17.399999999999999" customHeight="1">
      <c r="A38" s="103"/>
      <c r="B38" s="92" t="s">
        <v>653</v>
      </c>
      <c r="C38" s="97"/>
      <c r="D38" s="97"/>
      <c r="E38" s="101"/>
    </row>
    <row r="39" spans="1:5" ht="17.399999999999999" customHeight="1">
      <c r="A39" s="103"/>
      <c r="B39" s="538" t="s">
        <v>690</v>
      </c>
      <c r="C39" s="538"/>
      <c r="D39" s="538"/>
      <c r="E39" s="101" t="s">
        <v>139</v>
      </c>
    </row>
    <row r="40" spans="1:5" ht="17.399999999999999" customHeight="1">
      <c r="A40" s="103"/>
      <c r="B40" s="560" t="s">
        <v>691</v>
      </c>
      <c r="C40" s="560"/>
      <c r="D40" s="560"/>
      <c r="E40" s="101" t="s">
        <v>139</v>
      </c>
    </row>
    <row r="41" spans="1:5" ht="17.399999999999999" customHeight="1">
      <c r="A41" s="103"/>
      <c r="B41" s="560" t="s">
        <v>692</v>
      </c>
      <c r="C41" s="560"/>
      <c r="D41" s="560"/>
      <c r="E41" s="101" t="s">
        <v>139</v>
      </c>
    </row>
    <row r="42" spans="1:5" ht="14.4">
      <c r="A42" s="103"/>
      <c r="B42" s="531" t="s">
        <v>147</v>
      </c>
      <c r="C42" s="531"/>
      <c r="D42" s="531"/>
      <c r="E42" s="531"/>
    </row>
    <row r="43" spans="1:5" ht="14.4">
      <c r="A43" s="103"/>
      <c r="B43" s="97"/>
      <c r="C43" s="97"/>
      <c r="D43" s="97"/>
      <c r="E43" s="97"/>
    </row>
    <row r="44" spans="1:5" ht="14.4">
      <c r="A44" s="103"/>
      <c r="B44" s="97"/>
      <c r="C44" s="97"/>
      <c r="D44" s="97"/>
      <c r="E44" s="97"/>
    </row>
    <row r="45" spans="1:5" ht="14.4">
      <c r="A45" s="103"/>
      <c r="B45" s="97"/>
      <c r="C45" s="97"/>
      <c r="D45" s="97"/>
      <c r="E45" s="97"/>
    </row>
    <row r="46" spans="1:5">
      <c r="B46" s="97"/>
      <c r="C46" s="97"/>
      <c r="D46" s="97"/>
      <c r="E46" s="97"/>
    </row>
  </sheetData>
  <sheetProtection sheet="1" objects="1" scenarios="1"/>
  <mergeCells count="26">
    <mergeCell ref="C24:D29"/>
    <mergeCell ref="B34:E34"/>
    <mergeCell ref="B32:C32"/>
    <mergeCell ref="C23:D23"/>
    <mergeCell ref="B42:E42"/>
    <mergeCell ref="B36:D36"/>
    <mergeCell ref="B37:D37"/>
    <mergeCell ref="B39:D39"/>
    <mergeCell ref="B40:D40"/>
    <mergeCell ref="B41:D41"/>
    <mergeCell ref="B4:E4"/>
    <mergeCell ref="B5:E5"/>
    <mergeCell ref="B7:E7"/>
    <mergeCell ref="B22:E22"/>
    <mergeCell ref="B20:E20"/>
    <mergeCell ref="C18:D18"/>
    <mergeCell ref="B9:D9"/>
    <mergeCell ref="B10:D10"/>
    <mergeCell ref="B11:D11"/>
    <mergeCell ref="B12:D12"/>
    <mergeCell ref="B13:D13"/>
    <mergeCell ref="B14:D14"/>
    <mergeCell ref="B15:D15"/>
    <mergeCell ref="B16:D16"/>
    <mergeCell ref="B17:D17"/>
    <mergeCell ref="B8:D8"/>
  </mergeCells>
  <dataValidations disablePrompts="1" count="2">
    <dataValidation type="decimal" sqref="C1" xr:uid="{00000000-0002-0000-1F00-000000000000}">
      <formula1>0</formula1>
      <formula2>3</formula2>
    </dataValidation>
    <dataValidation type="list" sqref="A1 E9:E18 E36:E41 E21 E24:E29" xr:uid="{00000000-0002-0000-1F00-000001000000}">
      <formula1>"☐,☑"</formula1>
    </dataValidation>
  </dataValidation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E34"/>
  <sheetViews>
    <sheetView zoomScale="90" zoomScaleNormal="90" workbookViewId="0">
      <selection activeCell="G12" sqref="G12"/>
    </sheetView>
  </sheetViews>
  <sheetFormatPr defaultRowHeight="13.8"/>
  <cols>
    <col min="1" max="1" width="6" style="93" customWidth="1"/>
    <col min="2" max="2" width="39" style="93" customWidth="1"/>
    <col min="3" max="3" width="26" style="93" customWidth="1"/>
    <col min="4" max="4" width="27.796875" style="93" customWidth="1"/>
    <col min="5" max="5" width="21.5" style="93" customWidth="1"/>
    <col min="6" max="16384" width="8.796875" style="93"/>
  </cols>
  <sheetData>
    <row r="1" spans="1:5" ht="17.399999999999999">
      <c r="A1" s="91" t="s">
        <v>134</v>
      </c>
      <c r="B1" s="92" t="s">
        <v>998</v>
      </c>
      <c r="C1" s="92"/>
      <c r="D1" s="92"/>
      <c r="E1" s="92"/>
    </row>
    <row r="2" spans="1:5" ht="28.2" customHeight="1">
      <c r="A2" s="94"/>
      <c r="B2" s="532" t="s">
        <v>72</v>
      </c>
      <c r="C2" s="532"/>
      <c r="D2" s="95"/>
      <c r="E2" s="95" t="s">
        <v>71</v>
      </c>
    </row>
    <row r="3" spans="1:5">
      <c r="A3" s="94"/>
      <c r="B3" s="635" t="s">
        <v>136</v>
      </c>
      <c r="C3" s="635"/>
      <c r="D3" s="636" t="str">
        <f>IF(AND(E8="☑",E12="☑",E13="☑",E14="☑",E15="☑",E16="☑",E19="☑"),"COMPLIANT","PENDING")</f>
        <v>PENDING</v>
      </c>
      <c r="E3" s="636"/>
    </row>
    <row r="4" spans="1:5" ht="15.6">
      <c r="A4" s="94"/>
      <c r="B4" s="96" t="s">
        <v>5</v>
      </c>
      <c r="C4" s="97"/>
      <c r="D4" s="97"/>
      <c r="E4" s="97" t="str">
        <f>HYPERLINK("#'Checklist'!A1","Go To Checklist")</f>
        <v>Go To Checklist</v>
      </c>
    </row>
    <row r="5" spans="1:5" ht="49.5" customHeight="1">
      <c r="A5" s="94"/>
      <c r="B5" s="533" t="s">
        <v>710</v>
      </c>
      <c r="C5" s="534"/>
      <c r="D5" s="534"/>
      <c r="E5" s="535"/>
    </row>
    <row r="6" spans="1:5" ht="15.6">
      <c r="A6" s="94"/>
      <c r="B6" s="528" t="s">
        <v>918</v>
      </c>
      <c r="C6" s="528"/>
      <c r="D6" s="528"/>
      <c r="E6" s="98"/>
    </row>
    <row r="7" spans="1:5" ht="18.45" customHeight="1">
      <c r="A7" s="94"/>
      <c r="B7" s="228" t="s">
        <v>758</v>
      </c>
      <c r="C7" s="228"/>
      <c r="D7" s="228"/>
      <c r="E7" s="229" t="s">
        <v>137</v>
      </c>
    </row>
    <row r="8" spans="1:5" ht="48" customHeight="1">
      <c r="A8" s="94"/>
      <c r="B8" s="571" t="s">
        <v>754</v>
      </c>
      <c r="C8" s="571"/>
      <c r="D8" s="571"/>
      <c r="E8" s="101" t="s">
        <v>139</v>
      </c>
    </row>
    <row r="9" spans="1:5" ht="16.8" customHeight="1">
      <c r="A9" s="94"/>
      <c r="B9" s="616" t="s">
        <v>1013</v>
      </c>
      <c r="C9" s="616"/>
      <c r="D9" s="616"/>
      <c r="E9" s="616"/>
    </row>
    <row r="10" spans="1:5" ht="18.600000000000001" customHeight="1">
      <c r="A10" s="94"/>
      <c r="B10" s="228" t="s">
        <v>757</v>
      </c>
      <c r="C10" s="233"/>
      <c r="D10" s="233"/>
      <c r="E10" s="229"/>
    </row>
    <row r="11" spans="1:5" ht="34.200000000000003" customHeight="1">
      <c r="A11" s="94"/>
      <c r="B11" s="529" t="s">
        <v>755</v>
      </c>
      <c r="C11" s="529"/>
      <c r="D11" s="529"/>
      <c r="E11" s="441" t="s">
        <v>137</v>
      </c>
    </row>
    <row r="12" spans="1:5" ht="17.399999999999999">
      <c r="A12" s="94"/>
      <c r="B12" s="993" t="s">
        <v>766</v>
      </c>
      <c r="C12" s="994"/>
      <c r="D12" s="995"/>
      <c r="E12" s="366" t="s">
        <v>139</v>
      </c>
    </row>
    <row r="13" spans="1:5" ht="17.399999999999999">
      <c r="A13" s="94"/>
      <c r="B13" s="993" t="s">
        <v>767</v>
      </c>
      <c r="C13" s="994"/>
      <c r="D13" s="995"/>
      <c r="E13" s="366" t="s">
        <v>139</v>
      </c>
    </row>
    <row r="14" spans="1:5" ht="17.399999999999999" customHeight="1">
      <c r="A14" s="94"/>
      <c r="B14" s="993" t="s">
        <v>768</v>
      </c>
      <c r="C14" s="994"/>
      <c r="D14" s="995"/>
      <c r="E14" s="366" t="s">
        <v>139</v>
      </c>
    </row>
    <row r="15" spans="1:5" ht="17.399999999999999" customHeight="1">
      <c r="A15" s="94"/>
      <c r="B15" s="861" t="s">
        <v>769</v>
      </c>
      <c r="C15" s="861"/>
      <c r="D15" s="861"/>
      <c r="E15" s="366" t="s">
        <v>139</v>
      </c>
    </row>
    <row r="16" spans="1:5" ht="17.399999999999999">
      <c r="A16" s="94"/>
      <c r="B16" s="861" t="s">
        <v>770</v>
      </c>
      <c r="C16" s="861"/>
      <c r="D16" s="861"/>
      <c r="E16" s="366" t="s">
        <v>139</v>
      </c>
    </row>
    <row r="17" spans="1:5" ht="16.2" customHeight="1">
      <c r="A17" s="94"/>
      <c r="B17" s="616" t="s">
        <v>1013</v>
      </c>
      <c r="C17" s="616"/>
      <c r="D17" s="616"/>
      <c r="E17" s="616"/>
    </row>
    <row r="18" spans="1:5" ht="17.55" customHeight="1">
      <c r="A18" s="94"/>
      <c r="B18" s="228" t="s">
        <v>756</v>
      </c>
      <c r="C18" s="233"/>
      <c r="D18" s="233"/>
      <c r="E18" s="229" t="s">
        <v>137</v>
      </c>
    </row>
    <row r="19" spans="1:5" ht="21" customHeight="1">
      <c r="A19" s="94"/>
      <c r="B19" s="571" t="s">
        <v>1535</v>
      </c>
      <c r="C19" s="571"/>
      <c r="D19" s="571"/>
      <c r="E19" s="101" t="s">
        <v>139</v>
      </c>
    </row>
    <row r="20" spans="1:5" ht="17.399999999999999" customHeight="1">
      <c r="A20" s="94"/>
      <c r="B20" s="374" t="s">
        <v>760</v>
      </c>
      <c r="C20" s="97"/>
      <c r="D20" s="97"/>
      <c r="E20" s="101"/>
    </row>
    <row r="21" spans="1:5" ht="32.4" customHeight="1">
      <c r="A21" s="94"/>
      <c r="B21" s="583" t="s">
        <v>761</v>
      </c>
      <c r="C21" s="583"/>
      <c r="D21" s="583"/>
      <c r="E21" s="583"/>
    </row>
    <row r="22" spans="1:5" ht="14.4" customHeight="1">
      <c r="A22" s="94"/>
      <c r="B22" s="583" t="s">
        <v>759</v>
      </c>
      <c r="C22" s="583"/>
      <c r="D22" s="583"/>
      <c r="E22" s="583"/>
    </row>
    <row r="23" spans="1:5" ht="18" customHeight="1">
      <c r="A23" s="94"/>
      <c r="B23" s="97"/>
      <c r="C23" s="97"/>
      <c r="D23" s="97"/>
      <c r="E23" s="97"/>
    </row>
    <row r="24" spans="1:5" ht="18" customHeight="1">
      <c r="A24" s="94"/>
      <c r="B24" s="537" t="s">
        <v>146</v>
      </c>
      <c r="C24" s="537"/>
      <c r="D24" s="537"/>
      <c r="E24" s="537"/>
    </row>
    <row r="25" spans="1:5" ht="18" customHeight="1">
      <c r="A25" s="94"/>
      <c r="B25" s="538" t="s">
        <v>762</v>
      </c>
      <c r="C25" s="538"/>
      <c r="D25" s="538"/>
      <c r="E25" s="101" t="s">
        <v>139</v>
      </c>
    </row>
    <row r="26" spans="1:5" ht="17.399999999999999">
      <c r="A26" s="94"/>
      <c r="B26" s="538" t="s">
        <v>763</v>
      </c>
      <c r="C26" s="538"/>
      <c r="D26" s="538"/>
      <c r="E26" s="101" t="s">
        <v>139</v>
      </c>
    </row>
    <row r="27" spans="1:5" ht="17.399999999999999">
      <c r="A27" s="94"/>
      <c r="B27" s="538" t="s">
        <v>764</v>
      </c>
      <c r="C27" s="538"/>
      <c r="D27" s="538"/>
      <c r="E27" s="101" t="s">
        <v>139</v>
      </c>
    </row>
    <row r="28" spans="1:5" ht="17.399999999999999">
      <c r="A28" s="94"/>
      <c r="B28" s="560" t="s">
        <v>765</v>
      </c>
      <c r="C28" s="560"/>
      <c r="D28" s="560"/>
      <c r="E28" s="101" t="s">
        <v>139</v>
      </c>
    </row>
    <row r="29" spans="1:5">
      <c r="A29" s="94"/>
      <c r="B29" s="531" t="s">
        <v>147</v>
      </c>
      <c r="C29" s="531"/>
      <c r="D29" s="531"/>
      <c r="E29" s="531"/>
    </row>
    <row r="30" spans="1:5">
      <c r="A30" s="94"/>
      <c r="B30" s="97"/>
      <c r="C30" s="97"/>
      <c r="D30" s="97"/>
      <c r="E30" s="97"/>
    </row>
    <row r="31" spans="1:5">
      <c r="A31" s="94"/>
      <c r="B31" s="97"/>
      <c r="C31" s="97"/>
      <c r="D31" s="97"/>
      <c r="E31" s="97"/>
    </row>
    <row r="32" spans="1:5">
      <c r="A32" s="94"/>
      <c r="B32" s="97"/>
      <c r="C32" s="97"/>
      <c r="D32" s="97"/>
      <c r="E32" s="97"/>
    </row>
    <row r="33" spans="2:5">
      <c r="B33" s="97"/>
      <c r="C33" s="97"/>
      <c r="D33" s="97"/>
      <c r="E33" s="97"/>
    </row>
    <row r="34" spans="2:5">
      <c r="B34" s="97"/>
      <c r="C34" s="97"/>
      <c r="D34" s="97"/>
      <c r="E34" s="97"/>
    </row>
  </sheetData>
  <sheetProtection sheet="1" objects="1" scenarios="1"/>
  <mergeCells count="23">
    <mergeCell ref="B14:D14"/>
    <mergeCell ref="B22:E22"/>
    <mergeCell ref="B3:C3"/>
    <mergeCell ref="D3:E3"/>
    <mergeCell ref="B5:E5"/>
    <mergeCell ref="B2:C2"/>
    <mergeCell ref="B6:D6"/>
    <mergeCell ref="B8:D8"/>
    <mergeCell ref="B11:D11"/>
    <mergeCell ref="B15:D15"/>
    <mergeCell ref="B16:D16"/>
    <mergeCell ref="B19:D19"/>
    <mergeCell ref="B9:E9"/>
    <mergeCell ref="B17:E17"/>
    <mergeCell ref="B21:E21"/>
    <mergeCell ref="B12:D12"/>
    <mergeCell ref="B13:D13"/>
    <mergeCell ref="B29:E29"/>
    <mergeCell ref="B25:D25"/>
    <mergeCell ref="B26:D26"/>
    <mergeCell ref="B27:D27"/>
    <mergeCell ref="B24:E24"/>
    <mergeCell ref="B28:D28"/>
  </mergeCells>
  <conditionalFormatting sqref="D3">
    <cfRule type="expression" dxfId="73" priority="3">
      <formula>D3="COMPLIANT"</formula>
    </cfRule>
    <cfRule type="expression" dxfId="72" priority="4">
      <formula>D3="PENDING"</formula>
    </cfRule>
  </conditionalFormatting>
  <dataValidations count="1">
    <dataValidation type="list" sqref="A1 E25:E28 E8 E19:E20 E12:E16" xr:uid="{00000000-0002-0000-2000-000000000000}">
      <formula1>"☐,☑"</formula1>
    </dataValidation>
  </dataValidations>
  <pageMargins left="0.7" right="0.7" top="0.75" bottom="0.75" header="0.3" footer="0.3"/>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E40"/>
  <sheetViews>
    <sheetView topLeftCell="A13" zoomScale="80" zoomScaleNormal="80" workbookViewId="0">
      <selection activeCell="H20" sqref="H20"/>
    </sheetView>
  </sheetViews>
  <sheetFormatPr defaultRowHeight="13.8"/>
  <cols>
    <col min="1" max="1" width="15.3984375" style="93" customWidth="1"/>
    <col min="2" max="2" width="41.69921875" style="93" customWidth="1"/>
    <col min="3" max="4" width="26" style="93" customWidth="1"/>
    <col min="5" max="5" width="18" style="93" customWidth="1"/>
    <col min="6" max="16384" width="8.796875" style="93"/>
  </cols>
  <sheetData>
    <row r="1" spans="1:5" ht="17.399999999999999">
      <c r="A1" s="91" t="s">
        <v>134</v>
      </c>
      <c r="B1" s="92" t="s">
        <v>163</v>
      </c>
      <c r="C1" s="9">
        <f>E12+E24</f>
        <v>0</v>
      </c>
      <c r="D1" s="92" t="s">
        <v>317</v>
      </c>
      <c r="E1" s="92">
        <f>IF('Project Info'!$C$8="New Hotel",2,2)</f>
        <v>2</v>
      </c>
    </row>
    <row r="2" spans="1:5" ht="21">
      <c r="A2" s="94"/>
      <c r="B2" s="95" t="s">
        <v>74</v>
      </c>
      <c r="C2" s="95"/>
      <c r="D2" s="95"/>
      <c r="E2" s="95" t="s">
        <v>73</v>
      </c>
    </row>
    <row r="3" spans="1:5" ht="15.6">
      <c r="A3" s="94"/>
      <c r="B3" s="96" t="s">
        <v>5</v>
      </c>
      <c r="C3" s="97"/>
      <c r="D3" s="97"/>
      <c r="E3" s="97" t="str">
        <f>HYPERLINK("#'Checklist'!A1","Go To Checklist")</f>
        <v>Go To Checklist</v>
      </c>
    </row>
    <row r="4" spans="1:5" ht="49.5" customHeight="1">
      <c r="A4" s="94"/>
      <c r="B4" s="533" t="s">
        <v>710</v>
      </c>
      <c r="C4" s="534"/>
      <c r="D4" s="534"/>
      <c r="E4" s="535"/>
    </row>
    <row r="5" spans="1:5" ht="15.45" customHeight="1">
      <c r="A5" s="94"/>
      <c r="B5" s="115" t="s">
        <v>918</v>
      </c>
      <c r="C5" s="116"/>
      <c r="D5" s="116"/>
      <c r="E5" s="116"/>
    </row>
    <row r="6" spans="1:5" ht="18.600000000000001" customHeight="1">
      <c r="A6" s="94"/>
      <c r="B6" s="866" t="s">
        <v>1332</v>
      </c>
      <c r="C6" s="866"/>
      <c r="D6" s="866"/>
      <c r="E6" s="352"/>
    </row>
    <row r="7" spans="1:5" ht="21.6" customHeight="1">
      <c r="A7" s="94"/>
      <c r="B7" s="603" t="s">
        <v>1331</v>
      </c>
      <c r="C7" s="603"/>
      <c r="D7" s="603"/>
      <c r="E7" s="99" t="s">
        <v>137</v>
      </c>
    </row>
    <row r="8" spans="1:5" ht="17.399999999999999" customHeight="1">
      <c r="A8" s="94"/>
      <c r="B8" s="828" t="s">
        <v>771</v>
      </c>
      <c r="C8" s="828"/>
      <c r="D8" s="828"/>
      <c r="E8" s="366" t="s">
        <v>139</v>
      </c>
    </row>
    <row r="9" spans="1:5" ht="17.399999999999999">
      <c r="A9" s="94"/>
      <c r="B9" s="828" t="s">
        <v>772</v>
      </c>
      <c r="C9" s="828"/>
      <c r="D9" s="828"/>
      <c r="E9" s="366" t="s">
        <v>139</v>
      </c>
    </row>
    <row r="10" spans="1:5" ht="14.55" customHeight="1">
      <c r="A10" s="94"/>
      <c r="B10" s="828" t="s">
        <v>773</v>
      </c>
      <c r="C10" s="828"/>
      <c r="D10" s="828"/>
      <c r="E10" s="366" t="s">
        <v>139</v>
      </c>
    </row>
    <row r="11" spans="1:5" ht="27.45" customHeight="1">
      <c r="A11" s="94"/>
      <c r="B11" s="828" t="s">
        <v>774</v>
      </c>
      <c r="C11" s="828"/>
      <c r="D11" s="828"/>
      <c r="E11" s="366" t="s">
        <v>139</v>
      </c>
    </row>
    <row r="12" spans="1:5" ht="20.399999999999999" customHeight="1">
      <c r="A12" s="94"/>
      <c r="B12" s="145" t="s">
        <v>329</v>
      </c>
      <c r="C12" s="124" t="s">
        <v>1335</v>
      </c>
      <c r="D12" s="419" t="s">
        <v>6</v>
      </c>
      <c r="E12" s="14">
        <f>IF(COUNTIF(E8:E11,"☑")&gt;=2,1,0)</f>
        <v>0</v>
      </c>
    </row>
    <row r="13" spans="1:5" ht="16.2" customHeight="1">
      <c r="A13" s="94"/>
      <c r="B13" s="616" t="s">
        <v>917</v>
      </c>
      <c r="C13" s="616"/>
      <c r="D13" s="616"/>
      <c r="E13" s="616"/>
    </row>
    <row r="14" spans="1:5" ht="15.6" customHeight="1">
      <c r="A14" s="94"/>
      <c r="B14" s="692" t="s">
        <v>1334</v>
      </c>
      <c r="C14" s="692"/>
      <c r="D14" s="692"/>
      <c r="E14" s="439"/>
    </row>
    <row r="15" spans="1:5" ht="23.4" customHeight="1">
      <c r="A15" s="94"/>
      <c r="B15" s="603" t="s">
        <v>1333</v>
      </c>
      <c r="C15" s="603"/>
      <c r="D15" s="603"/>
      <c r="E15" s="442"/>
    </row>
    <row r="16" spans="1:5" ht="25.2" customHeight="1">
      <c r="A16" s="94"/>
      <c r="B16" s="443" t="s">
        <v>1045</v>
      </c>
      <c r="C16" s="865" t="s">
        <v>1536</v>
      </c>
      <c r="D16" s="865"/>
      <c r="E16" s="201" t="s">
        <v>1414</v>
      </c>
    </row>
    <row r="17" spans="1:5" ht="17.399999999999999" customHeight="1">
      <c r="A17" s="94"/>
      <c r="B17" s="365" t="s">
        <v>775</v>
      </c>
      <c r="C17" s="830" t="s">
        <v>1537</v>
      </c>
      <c r="D17" s="830"/>
      <c r="E17" s="375" t="str">
        <f>IF(C17="","",IF(C17="Eco-friendly","✓","✗"))</f>
        <v>✓</v>
      </c>
    </row>
    <row r="18" spans="1:5" ht="17.399999999999999" customHeight="1">
      <c r="A18" s="94"/>
      <c r="B18" s="365" t="s">
        <v>776</v>
      </c>
      <c r="C18" s="830"/>
      <c r="D18" s="830"/>
      <c r="E18" s="375" t="str">
        <f>IF(C18="","",IF(C18="Eco-friendly","✓","✗"))</f>
        <v/>
      </c>
    </row>
    <row r="19" spans="1:5" ht="17.399999999999999">
      <c r="A19" s="94"/>
      <c r="B19" s="365" t="s">
        <v>777</v>
      </c>
      <c r="C19" s="830"/>
      <c r="D19" s="830"/>
      <c r="E19" s="375" t="str">
        <f t="shared" ref="E19:E23" si="0">IF(C19="","",IF(C19="Eco-friendly","✓","✗"))</f>
        <v/>
      </c>
    </row>
    <row r="20" spans="1:5" ht="17.399999999999999">
      <c r="A20" s="94"/>
      <c r="B20" s="365" t="s">
        <v>778</v>
      </c>
      <c r="C20" s="830"/>
      <c r="D20" s="830"/>
      <c r="E20" s="375" t="str">
        <f t="shared" si="0"/>
        <v/>
      </c>
    </row>
    <row r="21" spans="1:5" ht="17.399999999999999">
      <c r="A21" s="94"/>
      <c r="B21" s="365" t="s">
        <v>780</v>
      </c>
      <c r="C21" s="830"/>
      <c r="D21" s="830"/>
      <c r="E21" s="375" t="str">
        <f t="shared" si="0"/>
        <v/>
      </c>
    </row>
    <row r="22" spans="1:5" ht="17.399999999999999">
      <c r="A22" s="94"/>
      <c r="B22" s="365" t="s">
        <v>781</v>
      </c>
      <c r="C22" s="830"/>
      <c r="D22" s="830"/>
      <c r="E22" s="375" t="str">
        <f t="shared" si="0"/>
        <v/>
      </c>
    </row>
    <row r="23" spans="1:5" ht="17.399999999999999">
      <c r="A23" s="94"/>
      <c r="B23" s="365" t="s">
        <v>779</v>
      </c>
      <c r="C23" s="830"/>
      <c r="D23" s="830"/>
      <c r="E23" s="375" t="str">
        <f t="shared" si="0"/>
        <v/>
      </c>
    </row>
    <row r="24" spans="1:5" ht="31.8" customHeight="1">
      <c r="A24" s="94"/>
      <c r="B24" s="145" t="s">
        <v>329</v>
      </c>
      <c r="C24" s="329" t="s">
        <v>1336</v>
      </c>
      <c r="D24" s="419" t="s">
        <v>6</v>
      </c>
      <c r="E24" s="14">
        <f>IF(COUNTIF(E17:E23,"✓")&gt;=5,1,0)</f>
        <v>0</v>
      </c>
    </row>
    <row r="25" spans="1:5" ht="18" customHeight="1">
      <c r="A25" s="94"/>
      <c r="B25" s="844" t="s">
        <v>74</v>
      </c>
      <c r="C25" s="844"/>
      <c r="D25" s="431" t="s">
        <v>189</v>
      </c>
      <c r="E25" s="9">
        <f>C1</f>
        <v>0</v>
      </c>
    </row>
    <row r="26" spans="1:5" ht="18" customHeight="1">
      <c r="A26" s="94"/>
      <c r="B26" s="97"/>
      <c r="C26" s="97"/>
      <c r="D26" s="97"/>
      <c r="E26" s="97"/>
    </row>
    <row r="27" spans="1:5" ht="18" customHeight="1">
      <c r="A27" s="94"/>
      <c r="B27" s="537" t="s">
        <v>146</v>
      </c>
      <c r="C27" s="537"/>
      <c r="D27" s="537"/>
      <c r="E27" s="537"/>
    </row>
    <row r="28" spans="1:5" ht="15" customHeight="1">
      <c r="A28" s="94"/>
      <c r="B28" s="92" t="s">
        <v>782</v>
      </c>
      <c r="C28" s="92"/>
      <c r="D28" s="92"/>
      <c r="E28" s="92"/>
    </row>
    <row r="29" spans="1:5" ht="18" customHeight="1">
      <c r="A29" s="94"/>
      <c r="B29" s="538" t="s">
        <v>783</v>
      </c>
      <c r="C29" s="538"/>
      <c r="D29" s="538"/>
      <c r="E29" s="101" t="s">
        <v>139</v>
      </c>
    </row>
    <row r="30" spans="1:5" ht="18" customHeight="1">
      <c r="A30" s="94"/>
      <c r="B30" s="538" t="s">
        <v>784</v>
      </c>
      <c r="C30" s="538"/>
      <c r="D30" s="538"/>
      <c r="E30" s="101" t="s">
        <v>139</v>
      </c>
    </row>
    <row r="31" spans="1:5" ht="18" customHeight="1">
      <c r="A31" s="94"/>
      <c r="B31" s="538" t="s">
        <v>785</v>
      </c>
      <c r="C31" s="538"/>
      <c r="D31" s="538"/>
      <c r="E31" s="101" t="s">
        <v>139</v>
      </c>
    </row>
    <row r="32" spans="1:5" ht="17.399999999999999" customHeight="1">
      <c r="A32" s="94"/>
      <c r="B32" s="92" t="s">
        <v>786</v>
      </c>
      <c r="C32" s="97"/>
      <c r="D32" s="97"/>
      <c r="E32" s="101"/>
    </row>
    <row r="33" spans="1:5" ht="17.399999999999999">
      <c r="A33" s="94"/>
      <c r="B33" s="538" t="s">
        <v>787</v>
      </c>
      <c r="C33" s="538"/>
      <c r="D33" s="538"/>
      <c r="E33" s="101" t="s">
        <v>139</v>
      </c>
    </row>
    <row r="34" spans="1:5" ht="17.399999999999999">
      <c r="A34" s="94"/>
      <c r="B34" s="538" t="s">
        <v>788</v>
      </c>
      <c r="C34" s="538"/>
      <c r="D34" s="538"/>
      <c r="E34" s="101" t="s">
        <v>139</v>
      </c>
    </row>
    <row r="35" spans="1:5" ht="17.399999999999999">
      <c r="A35" s="94"/>
      <c r="B35" s="538" t="s">
        <v>789</v>
      </c>
      <c r="C35" s="538"/>
      <c r="D35" s="538"/>
      <c r="E35" s="101" t="s">
        <v>139</v>
      </c>
    </row>
    <row r="36" spans="1:5">
      <c r="A36" s="94"/>
      <c r="B36" s="531" t="s">
        <v>147</v>
      </c>
      <c r="C36" s="531"/>
      <c r="D36" s="531"/>
      <c r="E36" s="531"/>
    </row>
    <row r="37" spans="1:5">
      <c r="B37" s="97"/>
      <c r="C37" s="97"/>
      <c r="D37" s="97"/>
      <c r="E37" s="97"/>
    </row>
    <row r="38" spans="1:5">
      <c r="B38" s="97"/>
      <c r="C38" s="97"/>
      <c r="D38" s="97"/>
      <c r="E38" s="97"/>
    </row>
    <row r="39" spans="1:5">
      <c r="B39" s="97"/>
      <c r="C39" s="97"/>
      <c r="D39" s="97"/>
      <c r="E39" s="97"/>
    </row>
    <row r="40" spans="1:5">
      <c r="B40" s="97"/>
      <c r="C40" s="97"/>
      <c r="D40" s="97"/>
      <c r="E40" s="97"/>
    </row>
  </sheetData>
  <mergeCells count="27">
    <mergeCell ref="B10:D10"/>
    <mergeCell ref="B4:E4"/>
    <mergeCell ref="B6:D6"/>
    <mergeCell ref="B7:D7"/>
    <mergeCell ref="B8:D8"/>
    <mergeCell ref="B9:D9"/>
    <mergeCell ref="B11:D11"/>
    <mergeCell ref="B14:D14"/>
    <mergeCell ref="B13:E13"/>
    <mergeCell ref="B15:D15"/>
    <mergeCell ref="B33:D33"/>
    <mergeCell ref="C16:D16"/>
    <mergeCell ref="C17:D17"/>
    <mergeCell ref="C18:D18"/>
    <mergeCell ref="C19:D19"/>
    <mergeCell ref="C20:D20"/>
    <mergeCell ref="C21:D21"/>
    <mergeCell ref="C22:D22"/>
    <mergeCell ref="C23:D23"/>
    <mergeCell ref="B27:E27"/>
    <mergeCell ref="B25:C25"/>
    <mergeCell ref="B36:E36"/>
    <mergeCell ref="B34:D34"/>
    <mergeCell ref="B35:D35"/>
    <mergeCell ref="B29:D29"/>
    <mergeCell ref="B30:D30"/>
    <mergeCell ref="B31:D31"/>
  </mergeCells>
  <dataValidations count="3">
    <dataValidation type="decimal" sqref="C1" xr:uid="{00000000-0002-0000-2100-000000000000}">
      <formula1>0</formula1>
      <formula2>2</formula2>
    </dataValidation>
    <dataValidation type="list" sqref="A1 E29:E35 E8:E11 E17:E23" xr:uid="{00000000-0002-0000-2100-000001000000}">
      <formula1>"☐,☑"</formula1>
    </dataValidation>
    <dataValidation type="list" allowBlank="1" showInputMessage="1" showErrorMessage="1" sqref="C17:D23" xr:uid="{B3210029-9CA1-489C-8FA9-87D96CF279CB}">
      <formula1>"Eco-friendly, Not Eco-friendly"</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4385" r:id="rId4" name="Button 1">
              <controlPr defaultSize="0" print="0" autoFill="0" autoPict="0" macro="[0]!Add_Plastic_Free_Row">
                <anchor moveWithCells="1" sizeWithCells="1">
                  <from>
                    <xdr:col>0</xdr:col>
                    <xdr:colOff>22860</xdr:colOff>
                    <xdr:row>21</xdr:row>
                    <xdr:rowOff>30480</xdr:rowOff>
                  </from>
                  <to>
                    <xdr:col>0</xdr:col>
                    <xdr:colOff>1120140</xdr:colOff>
                    <xdr:row>22</xdr:row>
                    <xdr:rowOff>137160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K42"/>
  <sheetViews>
    <sheetView zoomScaleNormal="100" workbookViewId="0">
      <selection activeCell="F14" sqref="F14"/>
    </sheetView>
  </sheetViews>
  <sheetFormatPr defaultRowHeight="13.8"/>
  <cols>
    <col min="1" max="1" width="7" style="93" customWidth="1"/>
    <col min="2" max="2" width="34.8984375" style="93" customWidth="1"/>
    <col min="3" max="3" width="26.796875" style="93" customWidth="1"/>
    <col min="4" max="4" width="25.59765625" style="93" customWidth="1"/>
    <col min="5" max="5" width="20.796875" style="93" customWidth="1"/>
    <col min="6" max="6" width="8.796875" style="93"/>
    <col min="7" max="7" width="21" style="93" customWidth="1"/>
    <col min="8" max="8" width="19.5" style="93" customWidth="1"/>
    <col min="9" max="9" width="18.09765625" style="93" customWidth="1"/>
    <col min="10" max="10" width="19.296875" style="93" customWidth="1"/>
    <col min="11" max="11" width="18.59765625" style="93" customWidth="1"/>
    <col min="12" max="16384" width="8.796875" style="93"/>
  </cols>
  <sheetData>
    <row r="1" spans="1:11" ht="18" customHeight="1">
      <c r="A1" s="91" t="s">
        <v>134</v>
      </c>
      <c r="B1" s="707" t="s">
        <v>163</v>
      </c>
      <c r="C1" s="707"/>
      <c r="D1" s="832">
        <f>MAX(E10+E17,K28)</f>
        <v>2</v>
      </c>
      <c r="E1" s="832"/>
      <c r="F1" s="832"/>
      <c r="G1" s="707" t="s">
        <v>317</v>
      </c>
      <c r="H1" s="707"/>
      <c r="I1" s="707"/>
      <c r="J1" s="707">
        <v>2</v>
      </c>
      <c r="K1" s="707"/>
    </row>
    <row r="2" spans="1:11" ht="63" customHeight="1">
      <c r="A2" s="94"/>
      <c r="B2" s="95" t="s">
        <v>76</v>
      </c>
      <c r="C2" s="95"/>
      <c r="D2" s="95"/>
      <c r="E2" s="757"/>
      <c r="F2" s="757"/>
      <c r="G2" s="757"/>
      <c r="H2" s="757"/>
      <c r="I2" s="95"/>
      <c r="J2" s="95"/>
      <c r="K2" s="95" t="s">
        <v>75</v>
      </c>
    </row>
    <row r="3" spans="1:11" ht="15.6">
      <c r="A3" s="94"/>
      <c r="B3" s="96" t="s">
        <v>5</v>
      </c>
      <c r="C3" s="97"/>
      <c r="D3" s="97"/>
      <c r="E3" s="97"/>
      <c r="F3" s="97"/>
      <c r="G3" s="97"/>
      <c r="H3" s="97"/>
      <c r="J3" s="97"/>
      <c r="K3" s="97" t="str">
        <f>HYPERLINK("#'Checklist'!A1","Go To Checklist")</f>
        <v>Go To Checklist</v>
      </c>
    </row>
    <row r="4" spans="1:11" ht="45" customHeight="1">
      <c r="A4" s="94"/>
      <c r="B4" s="533" t="s">
        <v>710</v>
      </c>
      <c r="C4" s="534"/>
      <c r="D4" s="534"/>
      <c r="E4" s="535"/>
      <c r="G4" s="752" t="s">
        <v>710</v>
      </c>
      <c r="H4" s="753"/>
      <c r="I4" s="753"/>
      <c r="J4" s="753"/>
      <c r="K4" s="753"/>
    </row>
    <row r="5" spans="1:11" ht="15.45" customHeight="1">
      <c r="A5" s="94"/>
      <c r="B5" s="115" t="s">
        <v>918</v>
      </c>
      <c r="C5" s="116"/>
      <c r="D5" s="116"/>
      <c r="E5" s="116"/>
      <c r="G5" s="115" t="s">
        <v>918</v>
      </c>
      <c r="H5" s="116"/>
      <c r="I5" s="116"/>
      <c r="J5" s="867"/>
      <c r="K5" s="867"/>
    </row>
    <row r="6" spans="1:11" ht="17.399999999999999" customHeight="1">
      <c r="A6" s="94"/>
      <c r="B6" s="307" t="s">
        <v>790</v>
      </c>
      <c r="C6" s="307"/>
      <c r="D6" s="307"/>
      <c r="E6" s="231" t="s">
        <v>134</v>
      </c>
      <c r="F6" s="426" t="s">
        <v>816</v>
      </c>
      <c r="G6" s="866" t="s">
        <v>796</v>
      </c>
      <c r="H6" s="866"/>
      <c r="I6" s="866"/>
      <c r="J6" s="307"/>
      <c r="K6" s="231" t="s">
        <v>134</v>
      </c>
    </row>
    <row r="7" spans="1:11" ht="27.6" customHeight="1">
      <c r="A7" s="94"/>
      <c r="B7" s="868" t="s">
        <v>1337</v>
      </c>
      <c r="C7" s="868"/>
      <c r="D7" s="868"/>
      <c r="E7" s="99" t="s">
        <v>137</v>
      </c>
      <c r="G7" s="370" t="s">
        <v>1460</v>
      </c>
      <c r="H7" s="796" t="s">
        <v>1409</v>
      </c>
      <c r="I7" s="796"/>
      <c r="J7" s="370" t="s">
        <v>1540</v>
      </c>
      <c r="K7" s="370" t="s">
        <v>1541</v>
      </c>
    </row>
    <row r="8" spans="1:11" ht="30" customHeight="1">
      <c r="A8" s="94"/>
      <c r="B8" s="792" t="s">
        <v>791</v>
      </c>
      <c r="C8" s="792"/>
      <c r="D8" s="792"/>
      <c r="E8" s="366" t="s">
        <v>134</v>
      </c>
      <c r="G8" s="383" t="s">
        <v>1032</v>
      </c>
      <c r="H8" s="785"/>
      <c r="I8" s="785"/>
      <c r="J8" s="383"/>
      <c r="K8" s="424"/>
    </row>
    <row r="9" spans="1:11" ht="30" customHeight="1">
      <c r="A9" s="94"/>
      <c r="B9" s="792" t="s">
        <v>792</v>
      </c>
      <c r="C9" s="792"/>
      <c r="D9" s="792"/>
      <c r="E9" s="366" t="s">
        <v>139</v>
      </c>
      <c r="G9" s="383" t="s">
        <v>1033</v>
      </c>
      <c r="H9" s="785"/>
      <c r="I9" s="785"/>
      <c r="J9" s="372"/>
      <c r="K9" s="424"/>
    </row>
    <row r="10" spans="1:11" ht="30" customHeight="1">
      <c r="A10" s="94"/>
      <c r="B10" s="145" t="s">
        <v>329</v>
      </c>
      <c r="C10" s="124" t="s">
        <v>1338</v>
      </c>
      <c r="D10" s="419" t="s">
        <v>6</v>
      </c>
      <c r="E10" s="451">
        <f>IF(COUNTIF(E8:E9,"☑")&gt;=1,1,0)</f>
        <v>1</v>
      </c>
      <c r="G10" s="383" t="s">
        <v>1034</v>
      </c>
      <c r="H10" s="785"/>
      <c r="I10" s="785"/>
      <c r="J10" s="372"/>
      <c r="K10" s="424"/>
    </row>
    <row r="11" spans="1:11" ht="30" customHeight="1">
      <c r="A11" s="94"/>
      <c r="B11" s="616" t="s">
        <v>917</v>
      </c>
      <c r="C11" s="616"/>
      <c r="D11" s="616"/>
      <c r="E11" s="616"/>
      <c r="G11" s="383" t="s">
        <v>1035</v>
      </c>
      <c r="H11" s="785"/>
      <c r="I11" s="785"/>
      <c r="J11" s="372"/>
      <c r="K11" s="424"/>
    </row>
    <row r="12" spans="1:11" ht="30" customHeight="1">
      <c r="A12" s="94"/>
      <c r="B12" s="868" t="s">
        <v>1339</v>
      </c>
      <c r="C12" s="868"/>
      <c r="D12" s="868"/>
      <c r="E12" s="99" t="s">
        <v>137</v>
      </c>
      <c r="G12" s="383" t="s">
        <v>1036</v>
      </c>
      <c r="H12" s="785"/>
      <c r="I12" s="785"/>
      <c r="J12" s="372"/>
      <c r="K12" s="424"/>
    </row>
    <row r="13" spans="1:11" ht="30" customHeight="1">
      <c r="A13" s="94"/>
      <c r="B13" s="792" t="s">
        <v>793</v>
      </c>
      <c r="C13" s="792"/>
      <c r="D13" s="792"/>
      <c r="E13" s="366" t="s">
        <v>134</v>
      </c>
      <c r="G13" s="383" t="s">
        <v>1037</v>
      </c>
      <c r="H13" s="785"/>
      <c r="I13" s="785"/>
      <c r="J13" s="372"/>
      <c r="K13" s="424"/>
    </row>
    <row r="14" spans="1:11" ht="30" customHeight="1">
      <c r="A14" s="94"/>
      <c r="B14" s="792" t="s">
        <v>794</v>
      </c>
      <c r="C14" s="792"/>
      <c r="D14" s="792"/>
      <c r="E14" s="366" t="s">
        <v>134</v>
      </c>
      <c r="G14" s="383" t="s">
        <v>1038</v>
      </c>
      <c r="H14" s="785"/>
      <c r="I14" s="785"/>
      <c r="J14" s="372"/>
      <c r="K14" s="424"/>
    </row>
    <row r="15" spans="1:11" ht="33.6" customHeight="1">
      <c r="A15" s="94"/>
      <c r="B15" s="792" t="s">
        <v>1539</v>
      </c>
      <c r="C15" s="792"/>
      <c r="D15" s="792"/>
      <c r="E15" s="366" t="s">
        <v>139</v>
      </c>
      <c r="G15" s="383" t="s">
        <v>1039</v>
      </c>
      <c r="H15" s="785"/>
      <c r="I15" s="785"/>
      <c r="J15" s="372"/>
      <c r="K15" s="424"/>
    </row>
    <row r="16" spans="1:11" ht="30" customHeight="1">
      <c r="A16" s="94"/>
      <c r="B16" s="792" t="s">
        <v>795</v>
      </c>
      <c r="C16" s="792"/>
      <c r="D16" s="792"/>
      <c r="E16" s="366" t="s">
        <v>139</v>
      </c>
      <c r="G16" s="383" t="s">
        <v>1040</v>
      </c>
      <c r="H16" s="785"/>
      <c r="I16" s="785"/>
      <c r="J16" s="372"/>
      <c r="K16" s="424"/>
    </row>
    <row r="17" spans="1:11" ht="30" customHeight="1">
      <c r="A17" s="94"/>
      <c r="B17" s="145" t="s">
        <v>329</v>
      </c>
      <c r="C17" s="124" t="s">
        <v>1335</v>
      </c>
      <c r="D17" s="419" t="s">
        <v>6</v>
      </c>
      <c r="E17" s="12">
        <f>IF(COUNTIF(E13:E16,"☑")&gt;=2,1,0)</f>
        <v>1</v>
      </c>
      <c r="G17" s="383" t="s">
        <v>1041</v>
      </c>
      <c r="H17" s="785"/>
      <c r="I17" s="785"/>
      <c r="J17" s="372"/>
      <c r="K17" s="424"/>
    </row>
    <row r="18" spans="1:11" ht="30" customHeight="1">
      <c r="A18" s="94"/>
      <c r="B18" s="322"/>
      <c r="C18" s="322"/>
      <c r="D18" s="322"/>
      <c r="E18" s="322"/>
      <c r="G18" s="383" t="s">
        <v>1042</v>
      </c>
      <c r="H18" s="785"/>
      <c r="I18" s="785"/>
      <c r="J18" s="372"/>
      <c r="K18" s="424"/>
    </row>
    <row r="19" spans="1:11" ht="30" customHeight="1">
      <c r="A19" s="94"/>
      <c r="B19" s="844" t="s">
        <v>76</v>
      </c>
      <c r="C19" s="844"/>
      <c r="D19" s="431" t="s">
        <v>189</v>
      </c>
      <c r="E19" s="9">
        <f>D1</f>
        <v>2</v>
      </c>
      <c r="G19" s="383" t="s">
        <v>1043</v>
      </c>
      <c r="H19" s="785"/>
      <c r="I19" s="785"/>
      <c r="J19" s="372"/>
      <c r="K19" s="424"/>
    </row>
    <row r="20" spans="1:11" ht="30" customHeight="1">
      <c r="A20" s="94"/>
      <c r="B20" s="322"/>
      <c r="C20" s="322"/>
      <c r="D20" s="322"/>
      <c r="E20" s="101"/>
      <c r="G20" s="800" t="s">
        <v>1538</v>
      </c>
      <c r="H20" s="800"/>
      <c r="I20" s="800"/>
      <c r="J20" s="368">
        <f>SUM(J8:J19)</f>
        <v>0</v>
      </c>
      <c r="K20" s="368">
        <f>SUM(K8:K19)</f>
        <v>0</v>
      </c>
    </row>
    <row r="21" spans="1:11">
      <c r="A21" s="94"/>
      <c r="B21" s="537" t="s">
        <v>146</v>
      </c>
      <c r="C21" s="537"/>
      <c r="D21" s="537"/>
      <c r="E21" s="537"/>
      <c r="G21" s="871" t="s">
        <v>1014</v>
      </c>
      <c r="H21" s="871"/>
      <c r="I21" s="445"/>
      <c r="J21" s="446" t="s">
        <v>622</v>
      </c>
      <c r="K21" s="447" t="s">
        <v>631</v>
      </c>
    </row>
    <row r="22" spans="1:11" ht="15.6" customHeight="1">
      <c r="A22" s="94"/>
      <c r="B22" s="92" t="s">
        <v>790</v>
      </c>
      <c r="C22" s="92"/>
      <c r="D22" s="92"/>
      <c r="E22" s="92"/>
      <c r="G22" s="869" t="s">
        <v>797</v>
      </c>
      <c r="H22" s="869"/>
      <c r="I22" s="869"/>
      <c r="J22" s="411" t="s">
        <v>620</v>
      </c>
      <c r="K22" s="444">
        <f>J20</f>
        <v>0</v>
      </c>
    </row>
    <row r="23" spans="1:11" ht="17.399999999999999">
      <c r="A23" s="103"/>
      <c r="B23" s="538" t="s">
        <v>802</v>
      </c>
      <c r="C23" s="538"/>
      <c r="D23" s="538"/>
      <c r="E23" s="101" t="s">
        <v>139</v>
      </c>
      <c r="G23" s="869" t="s">
        <v>798</v>
      </c>
      <c r="H23" s="869"/>
      <c r="I23" s="869"/>
      <c r="J23" s="411" t="s">
        <v>620</v>
      </c>
      <c r="K23" s="444">
        <f>K20</f>
        <v>0</v>
      </c>
    </row>
    <row r="24" spans="1:11" ht="17.399999999999999" customHeight="1">
      <c r="A24" s="103"/>
      <c r="B24" s="538" t="s">
        <v>803</v>
      </c>
      <c r="C24" s="538"/>
      <c r="D24" s="538"/>
      <c r="E24" s="101" t="s">
        <v>139</v>
      </c>
      <c r="G24" s="869" t="s">
        <v>256</v>
      </c>
      <c r="H24" s="869"/>
      <c r="I24" s="869"/>
      <c r="J24" s="411" t="s">
        <v>257</v>
      </c>
      <c r="K24" s="453">
        <f>'WC CR 2'!N23</f>
        <v>0</v>
      </c>
    </row>
    <row r="25" spans="1:11" ht="17.399999999999999" customHeight="1">
      <c r="A25" s="103"/>
      <c r="B25" s="531" t="s">
        <v>147</v>
      </c>
      <c r="C25" s="531"/>
      <c r="D25" s="531"/>
      <c r="G25" s="869" t="s">
        <v>801</v>
      </c>
      <c r="H25" s="869"/>
      <c r="I25" s="869"/>
      <c r="J25" s="411" t="s">
        <v>799</v>
      </c>
      <c r="K25" s="452">
        <f>IFERROR(K22/K24,0)</f>
        <v>0</v>
      </c>
    </row>
    <row r="26" spans="1:11" ht="17.399999999999999">
      <c r="A26" s="103"/>
      <c r="B26" s="560"/>
      <c r="C26" s="560"/>
      <c r="D26" s="560"/>
      <c r="E26" s="101"/>
      <c r="G26" s="869" t="s">
        <v>800</v>
      </c>
      <c r="H26" s="869"/>
      <c r="I26" s="869"/>
      <c r="J26" s="411" t="s">
        <v>799</v>
      </c>
      <c r="K26" s="444">
        <f>IFERROR((K23)/K24,0)</f>
        <v>0</v>
      </c>
    </row>
    <row r="27" spans="1:11" ht="17.399999999999999" customHeight="1">
      <c r="A27" s="103"/>
      <c r="B27" s="560"/>
      <c r="C27" s="560"/>
      <c r="D27" s="560"/>
      <c r="E27" s="101"/>
      <c r="G27" s="400" t="s">
        <v>329</v>
      </c>
      <c r="H27" s="429" t="s">
        <v>343</v>
      </c>
      <c r="I27" s="429" t="s">
        <v>344</v>
      </c>
      <c r="J27" s="448" t="s">
        <v>163</v>
      </c>
      <c r="K27" s="449" t="s">
        <v>6</v>
      </c>
    </row>
    <row r="28" spans="1:11" ht="15.6" customHeight="1">
      <c r="A28" s="103"/>
      <c r="B28" s="531"/>
      <c r="C28" s="531"/>
      <c r="D28" s="531"/>
      <c r="E28" s="531"/>
      <c r="G28" s="365" t="s">
        <v>1015</v>
      </c>
      <c r="H28" s="383" t="str">
        <f>IF('Project Info'!C11="Luxury Hotel","&lt; 0.4","")</f>
        <v/>
      </c>
      <c r="I28" s="383" t="str">
        <f>IF('Project Info'!C11="Business Hotel","&lt; 0.3","")</f>
        <v>&lt; 0.3</v>
      </c>
      <c r="J28" s="383">
        <v>1</v>
      </c>
      <c r="K28" s="870">
        <f>IF('Project Info'!C11="Luxury Hotel",IF(AND(K25&gt;0,K25&lt;=0.4),1,0)+IF(AND(K26&gt;0,K26&lt;=0.8),1,0),IF('Project Info'!C11="Business Hotel",IF(AND(K25&gt;0,K25&lt;=0.3),1,0)+IF(AND(K26&gt;0,K26&lt;=0.5),1,0),0))</f>
        <v>0</v>
      </c>
    </row>
    <row r="29" spans="1:11" ht="16.8" customHeight="1">
      <c r="B29" s="97"/>
      <c r="C29" s="124"/>
      <c r="D29" s="124"/>
      <c r="E29" s="207"/>
      <c r="G29" s="365" t="s">
        <v>1016</v>
      </c>
      <c r="H29" s="383" t="str">
        <f>IF('Project Info'!C11="Luxury Hotel","&lt; 0.8","")</f>
        <v/>
      </c>
      <c r="I29" s="383" t="str">
        <f>IF('Project Info'!C11="Business Hotel","&lt; 0.5","")</f>
        <v>&lt; 0.5</v>
      </c>
      <c r="J29" s="383">
        <v>1</v>
      </c>
      <c r="K29" s="870"/>
    </row>
    <row r="30" spans="1:11">
      <c r="B30" s="410"/>
      <c r="C30" s="124"/>
      <c r="D30" s="124"/>
      <c r="E30" s="124"/>
      <c r="G30" s="410" t="s">
        <v>760</v>
      </c>
      <c r="H30" s="124"/>
      <c r="I30" s="124"/>
      <c r="J30" s="124"/>
      <c r="K30" s="124"/>
    </row>
    <row r="31" spans="1:11" ht="28.8" customHeight="1">
      <c r="B31" s="450"/>
      <c r="C31" s="450"/>
      <c r="D31" s="450"/>
      <c r="E31" s="450"/>
      <c r="G31" s="583" t="s">
        <v>1340</v>
      </c>
      <c r="H31" s="583"/>
      <c r="I31" s="583"/>
      <c r="J31" s="583"/>
      <c r="K31" s="583"/>
    </row>
    <row r="32" spans="1:11" ht="29.4" customHeight="1">
      <c r="B32" s="450"/>
      <c r="C32" s="450"/>
      <c r="D32" s="450"/>
      <c r="E32" s="450"/>
      <c r="G32" s="583" t="s">
        <v>1341</v>
      </c>
      <c r="H32" s="583"/>
      <c r="I32" s="583"/>
      <c r="J32" s="583"/>
      <c r="K32" s="583"/>
    </row>
    <row r="33" spans="2:11">
      <c r="B33" s="302"/>
      <c r="C33" s="302"/>
      <c r="D33" s="302"/>
      <c r="E33" s="303"/>
      <c r="G33" s="539" t="s">
        <v>76</v>
      </c>
      <c r="H33" s="539"/>
      <c r="I33" s="275"/>
      <c r="J33" s="275" t="s">
        <v>189</v>
      </c>
      <c r="K33" s="8">
        <f>D1</f>
        <v>2</v>
      </c>
    </row>
    <row r="34" spans="2:11">
      <c r="B34" s="97"/>
      <c r="C34" s="97"/>
      <c r="D34" s="97"/>
      <c r="E34" s="97"/>
    </row>
    <row r="35" spans="2:11" ht="13.8" customHeight="1">
      <c r="B35" s="748"/>
      <c r="C35" s="748"/>
      <c r="D35" s="748"/>
      <c r="E35" s="748"/>
      <c r="G35" s="667" t="s">
        <v>146</v>
      </c>
      <c r="H35" s="667"/>
      <c r="I35" s="667"/>
      <c r="J35" s="667"/>
      <c r="K35" s="667"/>
    </row>
    <row r="36" spans="2:11" ht="15.6" customHeight="1">
      <c r="B36" s="92"/>
      <c r="C36" s="92"/>
      <c r="D36" s="92"/>
      <c r="E36" s="92"/>
      <c r="G36" s="581" t="s">
        <v>1656</v>
      </c>
      <c r="H36" s="581"/>
      <c r="I36" s="581"/>
      <c r="J36" s="581"/>
      <c r="K36" s="581"/>
    </row>
    <row r="37" spans="2:11" ht="17.399999999999999" customHeight="1">
      <c r="B37" s="538"/>
      <c r="C37" s="538"/>
      <c r="D37" s="538"/>
      <c r="E37" s="101"/>
      <c r="F37" s="103"/>
      <c r="G37" s="560" t="s">
        <v>804</v>
      </c>
      <c r="H37" s="560"/>
      <c r="I37" s="560"/>
      <c r="J37" s="560"/>
      <c r="K37" s="101" t="s">
        <v>139</v>
      </c>
    </row>
    <row r="38" spans="2:11" ht="17.399999999999999" customHeight="1">
      <c r="B38" s="538"/>
      <c r="C38" s="538"/>
      <c r="D38" s="538"/>
      <c r="E38" s="101"/>
      <c r="F38" s="103"/>
      <c r="G38" s="560" t="s">
        <v>805</v>
      </c>
      <c r="H38" s="560"/>
      <c r="I38" s="560"/>
      <c r="J38" s="560"/>
      <c r="K38" s="101" t="s">
        <v>139</v>
      </c>
    </row>
    <row r="39" spans="2:11" ht="14.4">
      <c r="B39" s="531"/>
      <c r="C39" s="531"/>
      <c r="D39" s="531"/>
      <c r="E39" s="531"/>
      <c r="F39" s="103"/>
      <c r="G39" s="531" t="s">
        <v>147</v>
      </c>
      <c r="H39" s="531"/>
      <c r="I39" s="531"/>
      <c r="J39" s="531"/>
    </row>
    <row r="40" spans="2:11" ht="14.4">
      <c r="F40" s="103"/>
    </row>
    <row r="41" spans="2:11" ht="14.4">
      <c r="F41" s="103"/>
    </row>
    <row r="42" spans="2:11" ht="14.4">
      <c r="F42" s="103"/>
    </row>
  </sheetData>
  <sheetProtection sheet="1" objects="1" scenarios="1"/>
  <mergeCells count="59">
    <mergeCell ref="B39:E39"/>
    <mergeCell ref="B35:E35"/>
    <mergeCell ref="B37:D37"/>
    <mergeCell ref="B38:D38"/>
    <mergeCell ref="B8:D8"/>
    <mergeCell ref="B9:D9"/>
    <mergeCell ref="B23:D23"/>
    <mergeCell ref="B24:D24"/>
    <mergeCell ref="B25:D25"/>
    <mergeCell ref="B11:E11"/>
    <mergeCell ref="B14:D14"/>
    <mergeCell ref="B15:D15"/>
    <mergeCell ref="B13:D13"/>
    <mergeCell ref="B16:D16"/>
    <mergeCell ref="B21:E21"/>
    <mergeCell ref="B26:D26"/>
    <mergeCell ref="K28:K29"/>
    <mergeCell ref="G31:K31"/>
    <mergeCell ref="G32:K32"/>
    <mergeCell ref="G33:H33"/>
    <mergeCell ref="G21:H21"/>
    <mergeCell ref="G22:I22"/>
    <mergeCell ref="G23:I23"/>
    <mergeCell ref="G24:I24"/>
    <mergeCell ref="G25:I25"/>
    <mergeCell ref="H17:I17"/>
    <mergeCell ref="H18:I18"/>
    <mergeCell ref="H19:I19"/>
    <mergeCell ref="G20:I20"/>
    <mergeCell ref="G26:I26"/>
    <mergeCell ref="B27:D27"/>
    <mergeCell ref="B28:E28"/>
    <mergeCell ref="G6:I6"/>
    <mergeCell ref="B19:C19"/>
    <mergeCell ref="B7:D7"/>
    <mergeCell ref="B12:D12"/>
    <mergeCell ref="H7:I7"/>
    <mergeCell ref="H8:I8"/>
    <mergeCell ref="H9:I9"/>
    <mergeCell ref="H10:I10"/>
    <mergeCell ref="H11:I11"/>
    <mergeCell ref="H12:I12"/>
    <mergeCell ref="H13:I13"/>
    <mergeCell ref="H14:I14"/>
    <mergeCell ref="H15:I15"/>
    <mergeCell ref="H16:I16"/>
    <mergeCell ref="G39:J39"/>
    <mergeCell ref="G35:K35"/>
    <mergeCell ref="G36:K36"/>
    <mergeCell ref="G37:J37"/>
    <mergeCell ref="G38:J38"/>
    <mergeCell ref="B1:C1"/>
    <mergeCell ref="G4:K4"/>
    <mergeCell ref="J5:K5"/>
    <mergeCell ref="E2:H2"/>
    <mergeCell ref="J1:K1"/>
    <mergeCell ref="G1:I1"/>
    <mergeCell ref="D1:F1"/>
    <mergeCell ref="B4:E4"/>
  </mergeCells>
  <phoneticPr fontId="26" type="noConversion"/>
  <conditionalFormatting sqref="B7:E17">
    <cfRule type="expression" dxfId="71" priority="2">
      <formula>$E$6&lt;&gt;"☑"</formula>
    </cfRule>
  </conditionalFormatting>
  <conditionalFormatting sqref="G7:K32">
    <cfRule type="expression" dxfId="70" priority="1">
      <formula>$K$6&lt;&gt;"☑"</formula>
    </cfRule>
  </conditionalFormatting>
  <dataValidations count="2">
    <dataValidation type="decimal" sqref="D1" xr:uid="{00000000-0002-0000-2200-000000000000}">
      <formula1>0</formula1>
      <formula2>2</formula2>
    </dataValidation>
    <dataValidation type="list" sqref="A1 E26:E27 E23:E24 E37:E38 K6 E20 E8:E9 E13:E16 K37:K38 E6" xr:uid="{00000000-0002-0000-2200-000001000000}">
      <formula1>"☐,☑"</formula1>
    </dataValidation>
  </dataValidations>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E35"/>
  <sheetViews>
    <sheetView workbookViewId="0">
      <selection activeCell="H11" sqref="H11"/>
    </sheetView>
  </sheetViews>
  <sheetFormatPr defaultRowHeight="13.8"/>
  <cols>
    <col min="1" max="1" width="12.5" style="93" customWidth="1"/>
    <col min="2" max="2" width="41.3984375" style="93" customWidth="1"/>
    <col min="3" max="3" width="15.09765625" style="93" customWidth="1"/>
    <col min="4" max="4" width="24.296875" style="93" customWidth="1"/>
    <col min="5" max="5" width="26.796875" style="93" customWidth="1"/>
    <col min="6" max="16384" width="8.796875" style="93"/>
  </cols>
  <sheetData>
    <row r="1" spans="1:5" ht="17.399999999999999">
      <c r="A1" s="91" t="s">
        <v>134</v>
      </c>
      <c r="B1" s="92" t="s">
        <v>163</v>
      </c>
      <c r="C1" s="9">
        <f>E19</f>
        <v>0</v>
      </c>
      <c r="D1" s="92" t="s">
        <v>317</v>
      </c>
      <c r="E1" s="92">
        <f>IF('Project Info'!$C$8="New Hotel",2,2)</f>
        <v>2</v>
      </c>
    </row>
    <row r="2" spans="1:5" ht="21">
      <c r="A2" s="94"/>
      <c r="B2" s="95" t="s">
        <v>78</v>
      </c>
      <c r="C2" s="95"/>
      <c r="D2" s="95"/>
      <c r="E2" s="95" t="s">
        <v>77</v>
      </c>
    </row>
    <row r="3" spans="1:5" ht="15.6">
      <c r="A3" s="94"/>
      <c r="B3" s="96" t="s">
        <v>5</v>
      </c>
      <c r="C3" s="97"/>
      <c r="D3" s="97"/>
      <c r="E3" s="97" t="str">
        <f>HYPERLINK("#'Checklist'!A1","Go To Checklist")</f>
        <v>Go To Checklist</v>
      </c>
    </row>
    <row r="4" spans="1:5" ht="45.45" customHeight="1">
      <c r="A4" s="94"/>
      <c r="B4" s="533" t="s">
        <v>710</v>
      </c>
      <c r="C4" s="534"/>
      <c r="D4" s="534"/>
      <c r="E4" s="535"/>
    </row>
    <row r="5" spans="1:5" ht="15.45" customHeight="1">
      <c r="A5" s="94"/>
      <c r="B5" s="115" t="s">
        <v>918</v>
      </c>
      <c r="C5" s="116"/>
      <c r="D5" s="116"/>
      <c r="E5" s="116"/>
    </row>
    <row r="6" spans="1:5" ht="16.8" customHeight="1">
      <c r="A6" s="94"/>
      <c r="B6" s="692" t="s">
        <v>1342</v>
      </c>
      <c r="C6" s="692"/>
      <c r="D6" s="692"/>
      <c r="E6" s="231"/>
    </row>
    <row r="7" spans="1:5" ht="31.95" customHeight="1">
      <c r="A7" s="94"/>
      <c r="B7" s="529" t="s">
        <v>1343</v>
      </c>
      <c r="C7" s="529"/>
      <c r="D7" s="529"/>
      <c r="E7" s="529"/>
    </row>
    <row r="8" spans="1:5" ht="14.4">
      <c r="A8" s="94"/>
      <c r="B8" s="92" t="s">
        <v>1542</v>
      </c>
      <c r="C8" s="872"/>
      <c r="D8" s="873"/>
      <c r="E8" s="124"/>
    </row>
    <row r="9" spans="1:5" ht="15" customHeight="1">
      <c r="A9" s="94"/>
      <c r="B9" s="454" t="s">
        <v>1544</v>
      </c>
      <c r="C9" s="874" t="s">
        <v>1543</v>
      </c>
      <c r="D9" s="874"/>
      <c r="E9" s="455" t="s">
        <v>1545</v>
      </c>
    </row>
    <row r="10" spans="1:5" ht="15" customHeight="1">
      <c r="A10" s="94"/>
      <c r="B10" s="365"/>
      <c r="C10" s="830"/>
      <c r="D10" s="830"/>
      <c r="E10" s="456" t="s">
        <v>984</v>
      </c>
    </row>
    <row r="11" spans="1:5" ht="15" customHeight="1">
      <c r="A11" s="94"/>
      <c r="B11" s="365"/>
      <c r="C11" s="830"/>
      <c r="D11" s="830"/>
      <c r="E11" s="456"/>
    </row>
    <row r="12" spans="1:5" ht="15" customHeight="1">
      <c r="A12" s="94"/>
      <c r="B12" s="365"/>
      <c r="C12" s="830"/>
      <c r="D12" s="830"/>
      <c r="E12" s="456"/>
    </row>
    <row r="13" spans="1:5" ht="15" customHeight="1">
      <c r="A13" s="94"/>
      <c r="B13" s="365"/>
      <c r="C13" s="830"/>
      <c r="D13" s="830"/>
      <c r="E13" s="456"/>
    </row>
    <row r="14" spans="1:5" ht="15" customHeight="1">
      <c r="A14" s="94"/>
      <c r="B14" s="365"/>
      <c r="C14" s="830"/>
      <c r="D14" s="830"/>
      <c r="E14" s="456"/>
    </row>
    <row r="15" spans="1:5" ht="15" customHeight="1">
      <c r="A15" s="94"/>
      <c r="B15" s="365"/>
      <c r="C15" s="830"/>
      <c r="D15" s="830"/>
      <c r="E15" s="456"/>
    </row>
    <row r="16" spans="1:5" ht="15" customHeight="1">
      <c r="A16" s="94"/>
      <c r="B16" s="365"/>
      <c r="C16" s="830"/>
      <c r="D16" s="830"/>
      <c r="E16" s="456"/>
    </row>
    <row r="17" spans="1:5">
      <c r="A17" s="94"/>
      <c r="B17" s="876" t="s">
        <v>1658</v>
      </c>
      <c r="C17" s="876"/>
      <c r="D17" s="876"/>
      <c r="E17" s="458">
        <f>COUNTIF(B10:B16,"&lt;&gt;")</f>
        <v>0</v>
      </c>
    </row>
    <row r="18" spans="1:5">
      <c r="A18" s="94"/>
      <c r="B18" s="145" t="s">
        <v>329</v>
      </c>
      <c r="C18" s="875" t="s">
        <v>163</v>
      </c>
      <c r="D18" s="875"/>
      <c r="E18" s="457" t="s">
        <v>6</v>
      </c>
    </row>
    <row r="19" spans="1:5" ht="16.2" customHeight="1">
      <c r="B19" s="407" t="s">
        <v>1344</v>
      </c>
      <c r="C19" s="785">
        <v>1</v>
      </c>
      <c r="D19" s="785"/>
      <c r="E19" s="870">
        <f>IF(COUNTIF(E10:E16,"Yes")&gt;=4,2,IF(COUNTIF(E10:E16,"Yes")&gt;=2,1,0))</f>
        <v>0</v>
      </c>
    </row>
    <row r="20" spans="1:5" ht="16.8" customHeight="1">
      <c r="B20" s="407" t="s">
        <v>1345</v>
      </c>
      <c r="C20" s="785">
        <v>2</v>
      </c>
      <c r="D20" s="785"/>
      <c r="E20" s="870"/>
    </row>
    <row r="21" spans="1:5" ht="21" customHeight="1">
      <c r="B21" s="154" t="s">
        <v>585</v>
      </c>
      <c r="C21" s="132"/>
      <c r="D21" s="707"/>
      <c r="E21" s="707"/>
    </row>
    <row r="22" spans="1:5" ht="43.8" customHeight="1">
      <c r="B22" s="734" t="s">
        <v>1346</v>
      </c>
      <c r="C22" s="734"/>
      <c r="D22" s="734"/>
      <c r="E22" s="734"/>
    </row>
    <row r="23" spans="1:5" ht="14.4">
      <c r="B23" s="734" t="s">
        <v>1347</v>
      </c>
      <c r="C23" s="734"/>
      <c r="D23" s="734"/>
      <c r="E23" s="734"/>
    </row>
    <row r="24" spans="1:5" ht="14.4">
      <c r="B24" s="734" t="s">
        <v>1348</v>
      </c>
      <c r="C24" s="734"/>
      <c r="D24" s="734"/>
      <c r="E24" s="734"/>
    </row>
    <row r="25" spans="1:5">
      <c r="B25" s="124"/>
      <c r="C25" s="104"/>
      <c r="D25" s="124"/>
      <c r="E25" s="124"/>
    </row>
    <row r="26" spans="1:5">
      <c r="B26" s="539" t="s">
        <v>78</v>
      </c>
      <c r="C26" s="539"/>
      <c r="D26" s="275" t="s">
        <v>189</v>
      </c>
      <c r="E26" s="276">
        <f>C1</f>
        <v>0</v>
      </c>
    </row>
    <row r="27" spans="1:5" ht="14.4">
      <c r="A27" s="103"/>
      <c r="B27" s="302"/>
      <c r="C27" s="302"/>
      <c r="D27" s="302"/>
      <c r="E27" s="303"/>
    </row>
    <row r="28" spans="1:5" ht="14.4">
      <c r="A28" s="103"/>
      <c r="B28" s="537" t="s">
        <v>146</v>
      </c>
      <c r="C28" s="537"/>
      <c r="D28" s="537"/>
      <c r="E28" s="537"/>
    </row>
    <row r="29" spans="1:5" ht="17.399999999999999">
      <c r="A29" s="103"/>
      <c r="B29" s="92" t="s">
        <v>806</v>
      </c>
      <c r="C29" s="97"/>
      <c r="D29" s="97"/>
      <c r="E29" s="101"/>
    </row>
    <row r="30" spans="1:5" ht="17.399999999999999">
      <c r="A30" s="103"/>
      <c r="B30" s="560" t="s">
        <v>808</v>
      </c>
      <c r="C30" s="560"/>
      <c r="D30" s="560"/>
      <c r="E30" s="101" t="s">
        <v>139</v>
      </c>
    </row>
    <row r="31" spans="1:5" ht="17.399999999999999">
      <c r="A31" s="103"/>
      <c r="B31" s="560" t="s">
        <v>809</v>
      </c>
      <c r="C31" s="560"/>
      <c r="D31" s="560"/>
      <c r="E31" s="101" t="s">
        <v>139</v>
      </c>
    </row>
    <row r="32" spans="1:5" ht="17.399999999999999">
      <c r="A32" s="103"/>
      <c r="B32" s="560" t="s">
        <v>807</v>
      </c>
      <c r="C32" s="560"/>
      <c r="D32" s="560"/>
      <c r="E32" s="101" t="s">
        <v>139</v>
      </c>
    </row>
    <row r="33" spans="1:5" ht="14.4">
      <c r="A33" s="103"/>
      <c r="B33" s="531" t="s">
        <v>147</v>
      </c>
      <c r="C33" s="531"/>
      <c r="D33" s="531"/>
      <c r="E33" s="531"/>
    </row>
    <row r="34" spans="1:5">
      <c r="B34" s="97"/>
      <c r="C34" s="97"/>
      <c r="D34" s="97"/>
      <c r="E34" s="97"/>
    </row>
    <row r="35" spans="1:5">
      <c r="B35" s="97"/>
      <c r="C35" s="97"/>
      <c r="D35" s="97"/>
      <c r="E35" s="97"/>
    </row>
  </sheetData>
  <mergeCells count="27">
    <mergeCell ref="B33:E33"/>
    <mergeCell ref="B23:E23"/>
    <mergeCell ref="B30:D30"/>
    <mergeCell ref="B31:D31"/>
    <mergeCell ref="B32:D32"/>
    <mergeCell ref="B28:E28"/>
    <mergeCell ref="B26:C26"/>
    <mergeCell ref="D21:E21"/>
    <mergeCell ref="B6:D6"/>
    <mergeCell ref="B22:E22"/>
    <mergeCell ref="B24:E24"/>
    <mergeCell ref="B7:E7"/>
    <mergeCell ref="E19:E20"/>
    <mergeCell ref="C18:D18"/>
    <mergeCell ref="B17:D17"/>
    <mergeCell ref="C19:D19"/>
    <mergeCell ref="C20:D20"/>
    <mergeCell ref="C13:D13"/>
    <mergeCell ref="C14:D14"/>
    <mergeCell ref="C15:D15"/>
    <mergeCell ref="C16:D16"/>
    <mergeCell ref="C12:D12"/>
    <mergeCell ref="B4:E4"/>
    <mergeCell ref="C8:D8"/>
    <mergeCell ref="C9:D9"/>
    <mergeCell ref="C10:D10"/>
    <mergeCell ref="C11:D11"/>
  </mergeCells>
  <conditionalFormatting sqref="B19:C20 E8:E9 C18 E17:E19 B8:C16">
    <cfRule type="expression" dxfId="69" priority="54">
      <formula>#REF!&lt;&gt;"☑"</formula>
    </cfRule>
  </conditionalFormatting>
  <dataValidations count="3">
    <dataValidation type="decimal" sqref="C1" xr:uid="{00000000-0002-0000-2300-000000000000}">
      <formula1>0</formula1>
      <formula2>2</formula2>
    </dataValidation>
    <dataValidation type="list" sqref="A1 E29:E32 E6" xr:uid="{00000000-0002-0000-2300-000001000000}">
      <formula1>"☐,☑"</formula1>
    </dataValidation>
    <dataValidation type="list" sqref="E10:E16" xr:uid="{7C8AA95F-58E5-4854-932D-7F4BDBC664DB}">
      <formula1>"Yes, No"</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46433" r:id="rId3" name="Button 1">
              <controlPr defaultSize="0" print="0" autoFill="0" autoPict="0" macro="[0]!Add_GreenPro_Row">
                <anchor moveWithCells="1" sizeWithCells="1">
                  <from>
                    <xdr:col>0</xdr:col>
                    <xdr:colOff>0</xdr:colOff>
                    <xdr:row>14</xdr:row>
                    <xdr:rowOff>121920</xdr:rowOff>
                  </from>
                  <to>
                    <xdr:col>0</xdr:col>
                    <xdr:colOff>899160</xdr:colOff>
                    <xdr:row>16</xdr:row>
                    <xdr:rowOff>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E55"/>
  <sheetViews>
    <sheetView zoomScale="90" zoomScaleNormal="90" workbookViewId="0">
      <selection activeCell="C9" sqref="C9"/>
    </sheetView>
  </sheetViews>
  <sheetFormatPr defaultRowHeight="13.8"/>
  <cols>
    <col min="1" max="1" width="7" customWidth="1"/>
    <col min="2" max="2" width="25.59765625" customWidth="1"/>
    <col min="3" max="3" width="28" customWidth="1"/>
    <col min="4" max="4" width="25.59765625" customWidth="1"/>
    <col min="5" max="5" width="20.796875" customWidth="1"/>
  </cols>
  <sheetData>
    <row r="1" spans="1:5" ht="17.399999999999999">
      <c r="A1" s="6" t="s">
        <v>134</v>
      </c>
      <c r="B1" s="4" t="s">
        <v>163</v>
      </c>
      <c r="C1" s="9">
        <f>IF(E37="☑",2,E27+E34)</f>
        <v>0</v>
      </c>
      <c r="D1" s="4" t="s">
        <v>317</v>
      </c>
      <c r="E1" s="4">
        <f>IF('Project Info'!$C$8="New Hotel",2,2)</f>
        <v>2</v>
      </c>
    </row>
    <row r="2" spans="1:5" ht="42">
      <c r="A2" s="2"/>
      <c r="B2" s="5" t="s">
        <v>80</v>
      </c>
      <c r="C2" s="5"/>
      <c r="D2" s="5"/>
      <c r="E2" s="5" t="s">
        <v>79</v>
      </c>
    </row>
    <row r="3" spans="1:5" ht="15.6">
      <c r="A3" s="2"/>
      <c r="B3" s="16" t="s">
        <v>5</v>
      </c>
      <c r="C3" s="3"/>
      <c r="D3" s="3"/>
      <c r="E3" s="3" t="str">
        <f>HYPERLINK("#'Checklist'!A1","Go To Checklist")</f>
        <v>Go To Checklist</v>
      </c>
    </row>
    <row r="4" spans="1:5" ht="43.5" customHeight="1">
      <c r="A4" s="2"/>
      <c r="B4" s="882" t="s">
        <v>710</v>
      </c>
      <c r="C4" s="883"/>
      <c r="D4" s="883"/>
      <c r="E4" s="884"/>
    </row>
    <row r="5" spans="1:5" ht="15.6" customHeight="1">
      <c r="A5" s="2"/>
      <c r="B5" s="38" t="s">
        <v>918</v>
      </c>
      <c r="C5" s="39"/>
      <c r="D5" s="39"/>
      <c r="E5" s="39"/>
    </row>
    <row r="6" spans="1:5" ht="18" customHeight="1">
      <c r="A6" s="2"/>
      <c r="B6" s="885" t="s">
        <v>1351</v>
      </c>
      <c r="C6" s="885"/>
      <c r="D6" s="885"/>
      <c r="E6" s="29"/>
    </row>
    <row r="7" spans="1:5" ht="30.6" customHeight="1">
      <c r="A7" s="2"/>
      <c r="B7" s="886" t="s">
        <v>1354</v>
      </c>
      <c r="C7" s="886"/>
      <c r="D7" s="886"/>
      <c r="E7" s="886"/>
    </row>
    <row r="8" spans="1:5" ht="18" customHeight="1">
      <c r="A8" s="2"/>
      <c r="B8" s="459" t="s">
        <v>1460</v>
      </c>
      <c r="C8" s="459" t="s">
        <v>1409</v>
      </c>
      <c r="D8" s="459" t="s">
        <v>1546</v>
      </c>
      <c r="E8" s="459" t="s">
        <v>1541</v>
      </c>
    </row>
    <row r="9" spans="1:5" ht="18" customHeight="1">
      <c r="A9" s="2"/>
      <c r="B9" s="393" t="s">
        <v>1032</v>
      </c>
      <c r="C9" s="376"/>
      <c r="D9" s="393"/>
      <c r="E9" s="393"/>
    </row>
    <row r="10" spans="1:5" ht="18" customHeight="1">
      <c r="A10" s="2"/>
      <c r="B10" s="393" t="s">
        <v>1033</v>
      </c>
      <c r="C10" s="376"/>
      <c r="D10" s="393"/>
      <c r="E10" s="368"/>
    </row>
    <row r="11" spans="1:5" ht="18" customHeight="1">
      <c r="A11" s="2"/>
      <c r="B11" s="393" t="s">
        <v>1034</v>
      </c>
      <c r="C11" s="376"/>
      <c r="D11" s="393"/>
      <c r="E11" s="368"/>
    </row>
    <row r="12" spans="1:5" ht="15" customHeight="1">
      <c r="A12" s="2"/>
      <c r="B12" s="393" t="s">
        <v>1035</v>
      </c>
      <c r="C12" s="376"/>
      <c r="D12" s="393"/>
      <c r="E12" s="368"/>
    </row>
    <row r="13" spans="1:5">
      <c r="A13" s="2"/>
      <c r="B13" s="393" t="s">
        <v>1036</v>
      </c>
      <c r="C13" s="376"/>
      <c r="D13" s="393"/>
      <c r="E13" s="368"/>
    </row>
    <row r="14" spans="1:5" ht="16.95" customHeight="1">
      <c r="A14" s="2"/>
      <c r="B14" s="393" t="s">
        <v>1037</v>
      </c>
      <c r="C14" s="376"/>
      <c r="D14" s="393"/>
      <c r="E14" s="368"/>
    </row>
    <row r="15" spans="1:5" ht="16.95" customHeight="1">
      <c r="A15" s="2"/>
      <c r="B15" s="393" t="s">
        <v>1038</v>
      </c>
      <c r="C15" s="376"/>
      <c r="D15" s="393"/>
      <c r="E15" s="368"/>
    </row>
    <row r="16" spans="1:5" ht="16.95" customHeight="1">
      <c r="A16" s="2"/>
      <c r="B16" s="393" t="s">
        <v>1039</v>
      </c>
      <c r="C16" s="376"/>
      <c r="D16" s="393"/>
      <c r="E16" s="368"/>
    </row>
    <row r="17" spans="1:5" ht="16.95" customHeight="1">
      <c r="A17" s="2"/>
      <c r="B17" s="393" t="s">
        <v>1040</v>
      </c>
      <c r="C17" s="376"/>
      <c r="D17" s="393"/>
      <c r="E17" s="368"/>
    </row>
    <row r="18" spans="1:5" ht="23.4" customHeight="1">
      <c r="A18" s="2"/>
      <c r="B18" s="393" t="s">
        <v>1041</v>
      </c>
      <c r="C18" s="376"/>
      <c r="D18" s="393"/>
      <c r="E18" s="368"/>
    </row>
    <row r="19" spans="1:5" ht="18" customHeight="1">
      <c r="A19" s="2"/>
      <c r="B19" s="393" t="s">
        <v>1042</v>
      </c>
      <c r="C19" s="376"/>
      <c r="D19" s="393"/>
      <c r="E19" s="368"/>
    </row>
    <row r="20" spans="1:5" ht="16.8" customHeight="1">
      <c r="A20" s="2"/>
      <c r="B20" s="393" t="s">
        <v>1043</v>
      </c>
      <c r="C20" s="376"/>
      <c r="D20" s="393"/>
      <c r="E20" s="368"/>
    </row>
    <row r="21" spans="1:5" ht="16.95" customHeight="1">
      <c r="A21" s="2"/>
      <c r="B21" s="826" t="s">
        <v>1538</v>
      </c>
      <c r="C21" s="826"/>
      <c r="D21" s="368">
        <f>SUM(D9:D20)</f>
        <v>0</v>
      </c>
      <c r="E21" s="368">
        <f>SUM(E9:E20)</f>
        <v>0</v>
      </c>
    </row>
    <row r="22" spans="1:5" ht="13.95" customHeight="1">
      <c r="A22" s="2"/>
      <c r="B22" s="49" t="s">
        <v>940</v>
      </c>
      <c r="C22" s="49"/>
      <c r="D22" s="49" t="s">
        <v>622</v>
      </c>
      <c r="E22" s="62" t="s">
        <v>631</v>
      </c>
    </row>
    <row r="23" spans="1:5" ht="15" customHeight="1">
      <c r="A23" s="2"/>
      <c r="B23" s="887" t="s">
        <v>1349</v>
      </c>
      <c r="C23" s="887"/>
      <c r="D23" s="460" t="s">
        <v>620</v>
      </c>
      <c r="E23" s="462">
        <f>D21/365</f>
        <v>0</v>
      </c>
    </row>
    <row r="24" spans="1:5" ht="18" customHeight="1">
      <c r="A24" s="2"/>
      <c r="B24" s="887" t="s">
        <v>1350</v>
      </c>
      <c r="C24" s="887"/>
      <c r="D24" s="460" t="s">
        <v>620</v>
      </c>
      <c r="E24" s="462">
        <f>E21/365</f>
        <v>0</v>
      </c>
    </row>
    <row r="25" spans="1:5" ht="14.4" thickBot="1">
      <c r="A25" s="2"/>
      <c r="B25" s="890" t="s">
        <v>1352</v>
      </c>
      <c r="C25" s="890"/>
      <c r="D25" s="70" t="s">
        <v>620</v>
      </c>
      <c r="E25" s="71">
        <f>SUM(E23:E24)</f>
        <v>0</v>
      </c>
    </row>
    <row r="26" spans="1:5" ht="28.2" customHeight="1" thickBot="1">
      <c r="A26" s="2"/>
      <c r="B26" s="888" t="s">
        <v>1355</v>
      </c>
      <c r="C26" s="889"/>
      <c r="D26" s="69" t="s">
        <v>620</v>
      </c>
      <c r="E26" s="72"/>
    </row>
    <row r="27" spans="1:5" ht="47.4" customHeight="1">
      <c r="A27" s="2"/>
      <c r="B27" s="33" t="s">
        <v>329</v>
      </c>
      <c r="C27" s="14" t="s">
        <v>1356</v>
      </c>
      <c r="D27" s="45" t="s">
        <v>6</v>
      </c>
      <c r="E27" s="14">
        <f>IF(AND(E26&lt;&gt;"",E25&lt;&gt;"",E26&gt;=E25),1,0)</f>
        <v>0</v>
      </c>
    </row>
    <row r="28" spans="1:5" ht="28.8" customHeight="1">
      <c r="A28" s="2"/>
      <c r="B28" s="878" t="s">
        <v>1013</v>
      </c>
      <c r="C28" s="878"/>
      <c r="D28" s="878"/>
      <c r="E28" s="878"/>
    </row>
    <row r="29" spans="1:5" ht="16.8" customHeight="1">
      <c r="A29" s="2"/>
      <c r="B29" s="886" t="s">
        <v>1353</v>
      </c>
      <c r="C29" s="886"/>
      <c r="D29" s="886"/>
      <c r="E29" s="886"/>
    </row>
    <row r="30" spans="1:5" ht="18" customHeight="1">
      <c r="A30" s="2"/>
      <c r="B30" s="41" t="s">
        <v>940</v>
      </c>
      <c r="C30" s="23"/>
      <c r="D30" s="41" t="s">
        <v>622</v>
      </c>
      <c r="E30" s="44" t="s">
        <v>631</v>
      </c>
    </row>
    <row r="31" spans="1:5" ht="18" customHeight="1">
      <c r="A31" s="2"/>
      <c r="B31" s="879" t="s">
        <v>811</v>
      </c>
      <c r="C31" s="879"/>
      <c r="D31" s="404" t="s">
        <v>812</v>
      </c>
      <c r="E31" s="461">
        <v>122</v>
      </c>
    </row>
    <row r="32" spans="1:5" ht="18" customHeight="1">
      <c r="A32" s="2"/>
      <c r="B32" s="879" t="s">
        <v>813</v>
      </c>
      <c r="C32" s="879"/>
      <c r="D32" s="404" t="s">
        <v>620</v>
      </c>
      <c r="E32" s="461"/>
    </row>
    <row r="33" spans="1:5" ht="18" customHeight="1">
      <c r="A33" s="2"/>
      <c r="B33" s="879" t="s">
        <v>814</v>
      </c>
      <c r="C33" s="879"/>
      <c r="D33" s="404" t="s">
        <v>815</v>
      </c>
      <c r="E33" s="444">
        <f>IFERROR(E31/E32,0)</f>
        <v>0</v>
      </c>
    </row>
    <row r="34" spans="1:5" ht="27.6" customHeight="1">
      <c r="A34" s="2"/>
      <c r="B34" s="33" t="s">
        <v>329</v>
      </c>
      <c r="C34" s="14" t="s">
        <v>1357</v>
      </c>
      <c r="D34" s="45" t="s">
        <v>6</v>
      </c>
      <c r="E34" s="12">
        <f>IF(AND(E33&gt;0,E33&lt;0.06),1,0)</f>
        <v>0</v>
      </c>
    </row>
    <row r="35" spans="1:5" ht="18" customHeight="1">
      <c r="A35" s="2"/>
      <c r="B35" s="892" t="s">
        <v>816</v>
      </c>
      <c r="C35" s="892"/>
      <c r="D35" s="892"/>
      <c r="E35" s="892"/>
    </row>
    <row r="36" spans="1:5" ht="18" customHeight="1">
      <c r="A36" s="2"/>
      <c r="B36" s="893" t="s">
        <v>1358</v>
      </c>
      <c r="C36" s="893"/>
      <c r="D36" s="28"/>
      <c r="E36" s="29" t="s">
        <v>137</v>
      </c>
    </row>
    <row r="37" spans="1:5" ht="29.4" customHeight="1">
      <c r="A37" s="2"/>
      <c r="B37" s="891" t="s">
        <v>1359</v>
      </c>
      <c r="C37" s="891"/>
      <c r="D37" s="891"/>
      <c r="E37" s="10" t="s">
        <v>139</v>
      </c>
    </row>
    <row r="38" spans="1:5" ht="18" customHeight="1">
      <c r="A38" s="2"/>
      <c r="B38" s="61"/>
      <c r="C38" s="61"/>
      <c r="D38" s="61"/>
      <c r="E38" s="10"/>
    </row>
    <row r="39" spans="1:5" ht="27.6">
      <c r="A39" s="2"/>
      <c r="B39" s="11" t="s">
        <v>80</v>
      </c>
      <c r="C39" s="11"/>
      <c r="D39" s="11" t="s">
        <v>189</v>
      </c>
      <c r="E39" s="8">
        <f>C1</f>
        <v>0</v>
      </c>
    </row>
    <row r="40" spans="1:5">
      <c r="A40" s="2"/>
      <c r="B40" s="3"/>
      <c r="C40" s="3"/>
      <c r="D40" s="3"/>
      <c r="E40" s="3"/>
    </row>
    <row r="41" spans="1:5" ht="17.399999999999999" customHeight="1">
      <c r="B41" s="67" t="s">
        <v>146</v>
      </c>
      <c r="C41" s="67"/>
      <c r="D41" s="67"/>
      <c r="E41" s="67"/>
    </row>
    <row r="42" spans="1:5" ht="17.399999999999999" customHeight="1">
      <c r="B42" s="4" t="s">
        <v>810</v>
      </c>
      <c r="C42" s="4"/>
      <c r="D42" s="4"/>
      <c r="E42" s="4"/>
    </row>
    <row r="43" spans="1:5" ht="30.6" customHeight="1">
      <c r="B43" s="880" t="s">
        <v>817</v>
      </c>
      <c r="C43" s="880"/>
      <c r="D43" s="880"/>
      <c r="E43" s="7" t="s">
        <v>139</v>
      </c>
    </row>
    <row r="44" spans="1:5" ht="13.8" customHeight="1">
      <c r="B44" s="880" t="s">
        <v>818</v>
      </c>
      <c r="C44" s="880"/>
      <c r="D44" s="880"/>
      <c r="E44" s="7" t="s">
        <v>139</v>
      </c>
    </row>
    <row r="45" spans="1:5" ht="15" customHeight="1">
      <c r="B45" s="880" t="s">
        <v>819</v>
      </c>
      <c r="C45" s="880"/>
      <c r="D45" s="880"/>
      <c r="E45" s="7" t="s">
        <v>139</v>
      </c>
    </row>
    <row r="46" spans="1:5" ht="13.8" customHeight="1">
      <c r="B46" s="880" t="s">
        <v>820</v>
      </c>
      <c r="C46" s="880"/>
      <c r="D46" s="880"/>
      <c r="E46" s="7" t="s">
        <v>139</v>
      </c>
    </row>
    <row r="47" spans="1:5" ht="27.6">
      <c r="B47" s="4" t="s">
        <v>821</v>
      </c>
      <c r="C47" s="3"/>
      <c r="D47" s="3"/>
      <c r="E47" s="7"/>
    </row>
    <row r="48" spans="1:5" ht="17.399999999999999" customHeight="1">
      <c r="B48" s="881" t="s">
        <v>822</v>
      </c>
      <c r="C48" s="881"/>
      <c r="D48" s="881"/>
      <c r="E48" s="7" t="s">
        <v>139</v>
      </c>
    </row>
    <row r="49" spans="2:5" ht="17.399999999999999" customHeight="1">
      <c r="B49" s="881" t="s">
        <v>823</v>
      </c>
      <c r="C49" s="881"/>
      <c r="D49" s="881"/>
      <c r="E49" s="7" t="s">
        <v>139</v>
      </c>
    </row>
    <row r="50" spans="2:5" ht="17.399999999999999" customHeight="1">
      <c r="B50" s="881" t="s">
        <v>824</v>
      </c>
      <c r="C50" s="881"/>
      <c r="D50" s="881"/>
      <c r="E50" s="7" t="s">
        <v>139</v>
      </c>
    </row>
    <row r="51" spans="2:5" ht="17.399999999999999" customHeight="1">
      <c r="B51" s="881" t="s">
        <v>825</v>
      </c>
      <c r="C51" s="881"/>
      <c r="D51" s="881"/>
      <c r="E51" s="7" t="s">
        <v>139</v>
      </c>
    </row>
    <row r="52" spans="2:5" ht="17.399999999999999" customHeight="1">
      <c r="B52" s="881" t="s">
        <v>826</v>
      </c>
      <c r="C52" s="881"/>
      <c r="D52" s="881"/>
      <c r="E52" s="7" t="s">
        <v>139</v>
      </c>
    </row>
    <row r="53" spans="2:5">
      <c r="B53" s="877" t="s">
        <v>147</v>
      </c>
      <c r="C53" s="877"/>
      <c r="D53" s="877"/>
      <c r="E53" s="877"/>
    </row>
    <row r="54" spans="2:5">
      <c r="B54" s="877"/>
      <c r="C54" s="877"/>
      <c r="D54" s="877"/>
      <c r="E54" s="877"/>
    </row>
    <row r="55" spans="2:5">
      <c r="B55" s="877"/>
      <c r="C55" s="877"/>
      <c r="D55" s="877"/>
      <c r="E55" s="877"/>
    </row>
  </sheetData>
  <sheetProtection sheet="1" objects="1" scenarios="1"/>
  <mergeCells count="28">
    <mergeCell ref="B26:C26"/>
    <mergeCell ref="B21:C21"/>
    <mergeCell ref="B25:C25"/>
    <mergeCell ref="B44:D44"/>
    <mergeCell ref="B45:D45"/>
    <mergeCell ref="B29:E29"/>
    <mergeCell ref="B37:D37"/>
    <mergeCell ref="B35:E35"/>
    <mergeCell ref="B36:C36"/>
    <mergeCell ref="B4:E4"/>
    <mergeCell ref="B6:D6"/>
    <mergeCell ref="B7:E7"/>
    <mergeCell ref="B23:C23"/>
    <mergeCell ref="B24:C24"/>
    <mergeCell ref="B54:E54"/>
    <mergeCell ref="B55:E55"/>
    <mergeCell ref="B28:E28"/>
    <mergeCell ref="B31:C31"/>
    <mergeCell ref="B32:C32"/>
    <mergeCell ref="B33:C33"/>
    <mergeCell ref="B43:D43"/>
    <mergeCell ref="B51:D51"/>
    <mergeCell ref="B52:D52"/>
    <mergeCell ref="B53:E53"/>
    <mergeCell ref="B49:D49"/>
    <mergeCell ref="B50:D50"/>
    <mergeCell ref="B48:D48"/>
    <mergeCell ref="B46:D46"/>
  </mergeCells>
  <dataValidations count="3">
    <dataValidation type="decimal" sqref="C1" xr:uid="{00000000-0002-0000-2400-000000000000}">
      <formula1>0</formula1>
      <formula2>2</formula2>
    </dataValidation>
    <dataValidation type="list" sqref="A1 E43:E52 E36:E38 E6" xr:uid="{00000000-0002-0000-2400-000001000000}">
      <formula1>"☐,☑"</formula1>
    </dataValidation>
    <dataValidation sqref="D33:E33" xr:uid="{4D3A6E37-ADA0-43AF-B2AA-02AF79EDF8A3}"/>
  </dataValidation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E47"/>
  <sheetViews>
    <sheetView zoomScaleNormal="100" workbookViewId="0">
      <selection activeCell="E13" sqref="E13"/>
    </sheetView>
  </sheetViews>
  <sheetFormatPr defaultRowHeight="13.8"/>
  <cols>
    <col min="1" max="1" width="7.19921875" style="93" customWidth="1"/>
    <col min="2" max="2" width="39.8984375" style="93" customWidth="1"/>
    <col min="3" max="3" width="39.3984375" style="93" customWidth="1"/>
    <col min="4" max="4" width="26" style="93" customWidth="1"/>
    <col min="5" max="5" width="18" style="93" customWidth="1"/>
    <col min="6" max="16384" width="8.796875" style="93"/>
  </cols>
  <sheetData>
    <row r="1" spans="1:5" ht="17.399999999999999">
      <c r="A1" s="91" t="s">
        <v>134</v>
      </c>
      <c r="B1" s="92" t="s">
        <v>163</v>
      </c>
      <c r="C1" s="9">
        <f>MAX(E13,D25)</f>
        <v>0</v>
      </c>
      <c r="D1" s="92" t="s">
        <v>317</v>
      </c>
      <c r="E1" s="92">
        <f>IF('Project Info'!$C$8="New Hotel",5,5)</f>
        <v>5</v>
      </c>
    </row>
    <row r="2" spans="1:5" ht="21">
      <c r="A2" s="94"/>
      <c r="B2" s="95" t="s">
        <v>83</v>
      </c>
      <c r="C2" s="95"/>
      <c r="D2" s="95"/>
      <c r="E2" s="95" t="s">
        <v>82</v>
      </c>
    </row>
    <row r="3" spans="1:5" ht="15.6">
      <c r="A3" s="94"/>
      <c r="B3" s="96" t="s">
        <v>5</v>
      </c>
      <c r="C3" s="97"/>
      <c r="D3" s="97"/>
      <c r="E3" s="97" t="str">
        <f>HYPERLINK("#'Checklist'!A1","Go To Checklist")</f>
        <v>Go To Checklist</v>
      </c>
    </row>
    <row r="4" spans="1:5" ht="43.95" customHeight="1">
      <c r="A4" s="94"/>
      <c r="B4" s="533" t="s">
        <v>710</v>
      </c>
      <c r="C4" s="534"/>
      <c r="D4" s="534"/>
      <c r="E4" s="535"/>
    </row>
    <row r="5" spans="1:5" ht="15.45" customHeight="1">
      <c r="A5" s="94"/>
      <c r="B5" s="115" t="s">
        <v>918</v>
      </c>
      <c r="C5" s="116"/>
      <c r="D5" s="116"/>
      <c r="E5" s="116"/>
    </row>
    <row r="6" spans="1:5" ht="14.4">
      <c r="A6" s="94"/>
      <c r="B6" s="574" t="s">
        <v>1012</v>
      </c>
      <c r="C6" s="574"/>
      <c r="D6" s="574"/>
      <c r="E6" s="574"/>
    </row>
    <row r="7" spans="1:5" ht="17.399999999999999">
      <c r="A7" s="94"/>
      <c r="B7" s="307" t="s">
        <v>828</v>
      </c>
      <c r="C7" s="307"/>
      <c r="D7" s="307"/>
      <c r="E7" s="440" t="s">
        <v>134</v>
      </c>
    </row>
    <row r="8" spans="1:5" ht="16.95" customHeight="1">
      <c r="A8" s="94"/>
      <c r="B8" s="109" t="s">
        <v>940</v>
      </c>
      <c r="C8" s="1021" t="s">
        <v>622</v>
      </c>
      <c r="D8" s="1021"/>
      <c r="E8" s="110" t="s">
        <v>829</v>
      </c>
    </row>
    <row r="9" spans="1:5">
      <c r="A9" s="94"/>
      <c r="B9" s="147" t="s">
        <v>1055</v>
      </c>
      <c r="C9" s="1022" t="s">
        <v>812</v>
      </c>
      <c r="D9" s="1023"/>
      <c r="E9" s="339">
        <f>'EE CR 2'!D26</f>
        <v>0</v>
      </c>
    </row>
    <row r="10" spans="1:5">
      <c r="A10" s="94"/>
      <c r="B10" s="147" t="s">
        <v>1550</v>
      </c>
      <c r="C10" s="1022" t="s">
        <v>1551</v>
      </c>
      <c r="D10" s="1023"/>
      <c r="E10" s="337">
        <v>0</v>
      </c>
    </row>
    <row r="11" spans="1:5">
      <c r="A11" s="94"/>
      <c r="B11" s="147" t="s">
        <v>1552</v>
      </c>
      <c r="C11" s="1022" t="s">
        <v>812</v>
      </c>
      <c r="D11" s="1023"/>
      <c r="E11" s="337">
        <f>(E10*100)/1000</f>
        <v>0</v>
      </c>
    </row>
    <row r="12" spans="1:5" ht="17.55" customHeight="1">
      <c r="A12" s="94"/>
      <c r="B12" s="147" t="s">
        <v>169</v>
      </c>
      <c r="C12" s="1022" t="s">
        <v>170</v>
      </c>
      <c r="D12" s="1023"/>
      <c r="E12" s="185">
        <f>IFERROR(E11/E9,0)</f>
        <v>0</v>
      </c>
    </row>
    <row r="13" spans="1:5" ht="84.6" customHeight="1">
      <c r="A13" s="94"/>
      <c r="B13" s="145" t="s">
        <v>329</v>
      </c>
      <c r="C13" s="124" t="s">
        <v>1646</v>
      </c>
      <c r="D13" s="419" t="s">
        <v>6</v>
      </c>
      <c r="E13" s="15">
        <f>IF(E12&gt;=100%,1,0)</f>
        <v>0</v>
      </c>
    </row>
    <row r="14" spans="1:5" ht="15.6" customHeight="1">
      <c r="A14" s="94"/>
      <c r="B14" s="894" t="s">
        <v>816</v>
      </c>
      <c r="C14" s="894"/>
      <c r="D14" s="894"/>
      <c r="E14" s="894"/>
    </row>
    <row r="15" spans="1:5" ht="17.399999999999999">
      <c r="A15" s="94"/>
      <c r="B15" s="866" t="s">
        <v>830</v>
      </c>
      <c r="C15" s="866"/>
      <c r="D15" s="866"/>
      <c r="E15" s="440" t="s">
        <v>134</v>
      </c>
    </row>
    <row r="16" spans="1:5">
      <c r="A16" s="94"/>
      <c r="B16" s="109" t="s">
        <v>940</v>
      </c>
      <c r="C16" s="109" t="s">
        <v>622</v>
      </c>
      <c r="D16" s="109"/>
      <c r="E16" s="110" t="s">
        <v>829</v>
      </c>
    </row>
    <row r="17" spans="1:5">
      <c r="A17" s="94"/>
      <c r="B17" s="147" t="s">
        <v>345</v>
      </c>
      <c r="C17" s="147" t="s">
        <v>346</v>
      </c>
      <c r="D17" s="147"/>
      <c r="E17" s="515">
        <f>'EE MR 2'!E24+'EE MR 2'!F24</f>
        <v>0</v>
      </c>
    </row>
    <row r="18" spans="1:5">
      <c r="A18" s="94"/>
      <c r="B18" s="147" t="s">
        <v>1055</v>
      </c>
      <c r="C18" s="147" t="s">
        <v>812</v>
      </c>
      <c r="D18" s="147"/>
      <c r="E18" s="120">
        <v>0</v>
      </c>
    </row>
    <row r="19" spans="1:5">
      <c r="A19" s="94"/>
      <c r="B19" s="147" t="s">
        <v>1056</v>
      </c>
      <c r="C19" s="147" t="s">
        <v>812</v>
      </c>
      <c r="D19" s="147"/>
      <c r="E19" s="120">
        <v>0</v>
      </c>
    </row>
    <row r="20" spans="1:5">
      <c r="A20" s="94"/>
      <c r="B20" s="147" t="s">
        <v>1057</v>
      </c>
      <c r="C20" s="147" t="s">
        <v>346</v>
      </c>
      <c r="D20" s="147"/>
      <c r="E20" s="515">
        <f>'EE MR 2'!E24</f>
        <v>0</v>
      </c>
    </row>
    <row r="21" spans="1:5">
      <c r="A21" s="94"/>
      <c r="B21" s="147" t="s">
        <v>1058</v>
      </c>
      <c r="C21" s="147" t="s">
        <v>346</v>
      </c>
      <c r="D21" s="147"/>
      <c r="E21" s="515">
        <f>'EE MR 2'!F24</f>
        <v>0</v>
      </c>
    </row>
    <row r="22" spans="1:5" ht="16.8" customHeight="1">
      <c r="A22" s="94"/>
      <c r="B22" s="147" t="s">
        <v>1059</v>
      </c>
      <c r="C22" s="147" t="s">
        <v>346</v>
      </c>
      <c r="D22" s="147"/>
      <c r="E22" s="515">
        <f>SUM(E20:E21)</f>
        <v>0</v>
      </c>
    </row>
    <row r="23" spans="1:5">
      <c r="A23" s="94"/>
      <c r="B23" s="147" t="s">
        <v>169</v>
      </c>
      <c r="C23" s="147" t="s">
        <v>170</v>
      </c>
      <c r="D23" s="147"/>
      <c r="E23" s="42">
        <f>IFERROR(E22/E17,0)</f>
        <v>0</v>
      </c>
    </row>
    <row r="24" spans="1:5">
      <c r="A24" s="94"/>
      <c r="B24" s="123" t="s">
        <v>347</v>
      </c>
      <c r="C24" s="123" t="s">
        <v>163</v>
      </c>
      <c r="D24" s="895" t="s">
        <v>6</v>
      </c>
      <c r="E24" s="895"/>
    </row>
    <row r="25" spans="1:5">
      <c r="A25" s="94"/>
      <c r="B25" s="124" t="s">
        <v>304</v>
      </c>
      <c r="C25" s="124">
        <v>1</v>
      </c>
      <c r="D25" s="578">
        <f>IF(E23&gt;=90%,5,IF(E23&gt;=80%,4,IF(E23&gt;=60%,3,IF(E23&gt;=40%,2,IF(E23&gt;=20%,1,0)))))</f>
        <v>0</v>
      </c>
      <c r="E25" s="578"/>
    </row>
    <row r="26" spans="1:5" ht="13.95" customHeight="1">
      <c r="A26" s="94"/>
      <c r="B26" s="124" t="s">
        <v>348</v>
      </c>
      <c r="C26" s="124">
        <v>2</v>
      </c>
      <c r="D26" s="578"/>
      <c r="E26" s="578"/>
    </row>
    <row r="27" spans="1:5" ht="13.95" customHeight="1">
      <c r="A27" s="94"/>
      <c r="B27" s="124" t="s">
        <v>349</v>
      </c>
      <c r="C27" s="124">
        <v>3</v>
      </c>
      <c r="D27" s="578"/>
      <c r="E27" s="578"/>
    </row>
    <row r="28" spans="1:5" ht="18" customHeight="1">
      <c r="A28" s="94"/>
      <c r="B28" s="124" t="s">
        <v>350</v>
      </c>
      <c r="C28" s="124">
        <v>4</v>
      </c>
      <c r="D28" s="578"/>
      <c r="E28" s="578"/>
    </row>
    <row r="29" spans="1:5" ht="18" customHeight="1">
      <c r="A29" s="94"/>
      <c r="B29" s="124" t="s">
        <v>351</v>
      </c>
      <c r="C29" s="124">
        <v>5</v>
      </c>
      <c r="D29" s="578"/>
      <c r="E29" s="578"/>
    </row>
    <row r="30" spans="1:5" ht="18" customHeight="1">
      <c r="A30" s="94"/>
      <c r="B30" s="539" t="s">
        <v>83</v>
      </c>
      <c r="C30" s="539"/>
      <c r="D30" s="275" t="s">
        <v>189</v>
      </c>
      <c r="E30" s="8">
        <f>C1</f>
        <v>0</v>
      </c>
    </row>
    <row r="31" spans="1:5" ht="18" customHeight="1">
      <c r="A31" s="94"/>
      <c r="B31" s="97"/>
      <c r="C31" s="97"/>
      <c r="D31" s="97"/>
      <c r="E31" s="97"/>
    </row>
    <row r="32" spans="1:5" ht="18" customHeight="1">
      <c r="A32" s="94"/>
      <c r="B32" s="537" t="s">
        <v>146</v>
      </c>
      <c r="C32" s="537"/>
      <c r="D32" s="537"/>
      <c r="E32" s="537"/>
    </row>
    <row r="33" spans="1:5" ht="18" customHeight="1">
      <c r="A33" s="94"/>
      <c r="B33" s="748" t="s">
        <v>831</v>
      </c>
      <c r="C33" s="748"/>
      <c r="D33" s="748"/>
      <c r="E33" s="101"/>
    </row>
    <row r="34" spans="1:5" ht="17.399999999999999">
      <c r="A34" s="103"/>
      <c r="B34" s="538" t="s">
        <v>832</v>
      </c>
      <c r="C34" s="538"/>
      <c r="D34" s="538"/>
      <c r="E34" s="101" t="s">
        <v>139</v>
      </c>
    </row>
    <row r="35" spans="1:5" ht="18" customHeight="1">
      <c r="A35" s="103"/>
      <c r="B35" s="538" t="s">
        <v>833</v>
      </c>
      <c r="C35" s="538"/>
      <c r="D35" s="538"/>
      <c r="E35" s="101" t="s">
        <v>139</v>
      </c>
    </row>
    <row r="36" spans="1:5" ht="17.399999999999999">
      <c r="A36" s="103"/>
      <c r="B36" s="538" t="s">
        <v>834</v>
      </c>
      <c r="C36" s="538"/>
      <c r="D36" s="538"/>
      <c r="E36" s="101" t="s">
        <v>139</v>
      </c>
    </row>
    <row r="37" spans="1:5" ht="17.399999999999999">
      <c r="A37" s="103"/>
      <c r="B37" s="748" t="s">
        <v>830</v>
      </c>
      <c r="C37" s="748"/>
      <c r="D37" s="748"/>
      <c r="E37" s="101"/>
    </row>
    <row r="38" spans="1:5" ht="17.399999999999999">
      <c r="A38" s="103"/>
      <c r="B38" s="538" t="s">
        <v>835</v>
      </c>
      <c r="C38" s="538"/>
      <c r="D38" s="538"/>
      <c r="E38" s="101" t="s">
        <v>139</v>
      </c>
    </row>
    <row r="39" spans="1:5" ht="17.399999999999999">
      <c r="A39" s="103"/>
      <c r="B39" s="538" t="s">
        <v>836</v>
      </c>
      <c r="C39" s="538"/>
      <c r="D39" s="538"/>
      <c r="E39" s="101" t="s">
        <v>139</v>
      </c>
    </row>
    <row r="40" spans="1:5" ht="17.399999999999999">
      <c r="A40" s="103"/>
      <c r="B40" s="538" t="s">
        <v>833</v>
      </c>
      <c r="C40" s="538"/>
      <c r="D40" s="538"/>
      <c r="E40" s="101" t="s">
        <v>139</v>
      </c>
    </row>
    <row r="41" spans="1:5" ht="17.399999999999999">
      <c r="A41" s="103"/>
      <c r="B41" s="538" t="s">
        <v>834</v>
      </c>
      <c r="C41" s="538"/>
      <c r="D41" s="538"/>
      <c r="E41" s="101" t="s">
        <v>139</v>
      </c>
    </row>
    <row r="42" spans="1:5" ht="14.4">
      <c r="A42" s="114"/>
      <c r="B42" s="531" t="s">
        <v>147</v>
      </c>
      <c r="C42" s="531"/>
      <c r="D42" s="531"/>
      <c r="E42" s="531"/>
    </row>
    <row r="43" spans="1:5" ht="14.4">
      <c r="A43" s="103"/>
      <c r="B43" s="97"/>
      <c r="C43" s="97"/>
      <c r="D43" s="97"/>
      <c r="E43" s="97"/>
    </row>
    <row r="44" spans="1:5" ht="14.4">
      <c r="A44" s="103"/>
      <c r="B44" s="97"/>
      <c r="C44" s="97"/>
      <c r="D44" s="97"/>
      <c r="E44" s="97"/>
    </row>
    <row r="45" spans="1:5" ht="14.4">
      <c r="A45" s="103"/>
      <c r="B45" s="97"/>
      <c r="C45" s="97"/>
      <c r="D45" s="97"/>
      <c r="E45" s="97"/>
    </row>
    <row r="46" spans="1:5">
      <c r="B46" s="97"/>
      <c r="C46" s="97"/>
      <c r="D46" s="97"/>
      <c r="E46" s="97"/>
    </row>
    <row r="47" spans="1:5">
      <c r="B47" s="97"/>
      <c r="C47" s="97"/>
      <c r="D47" s="97"/>
      <c r="E47" s="97"/>
    </row>
  </sheetData>
  <sheetProtection sheet="1" objects="1" scenarios="1"/>
  <mergeCells count="23">
    <mergeCell ref="D24:E24"/>
    <mergeCell ref="D25:E29"/>
    <mergeCell ref="C8:D8"/>
    <mergeCell ref="C9:D9"/>
    <mergeCell ref="C10:D10"/>
    <mergeCell ref="C11:D11"/>
    <mergeCell ref="C12:D12"/>
    <mergeCell ref="B15:D15"/>
    <mergeCell ref="B4:E4"/>
    <mergeCell ref="B42:E42"/>
    <mergeCell ref="B38:D38"/>
    <mergeCell ref="B39:D39"/>
    <mergeCell ref="B6:E6"/>
    <mergeCell ref="B40:D40"/>
    <mergeCell ref="B41:D41"/>
    <mergeCell ref="B33:D33"/>
    <mergeCell ref="B34:D34"/>
    <mergeCell ref="B35:D35"/>
    <mergeCell ref="B36:D36"/>
    <mergeCell ref="B37:D37"/>
    <mergeCell ref="B14:E14"/>
    <mergeCell ref="B32:E32"/>
    <mergeCell ref="B30:C30"/>
  </mergeCells>
  <conditionalFormatting sqref="B8:C12 E8:E12">
    <cfRule type="expression" dxfId="68" priority="18">
      <formula>$E$7&lt;&gt;"☑"</formula>
    </cfRule>
  </conditionalFormatting>
  <conditionalFormatting sqref="B16:E17 B21:E24 D18:E20 B26:C29 B25:D25">
    <cfRule type="expression" dxfId="67" priority="17">
      <formula>$E$15&lt;&gt;"☑"</formula>
    </cfRule>
  </conditionalFormatting>
  <conditionalFormatting sqref="B18">
    <cfRule type="expression" dxfId="66" priority="14">
      <formula>$E$7&lt;&gt;"☑"</formula>
    </cfRule>
  </conditionalFormatting>
  <conditionalFormatting sqref="B19">
    <cfRule type="expression" dxfId="65" priority="13">
      <formula>$E$7&lt;&gt;"☑"</formula>
    </cfRule>
  </conditionalFormatting>
  <conditionalFormatting sqref="C18:C19">
    <cfRule type="expression" dxfId="64" priority="12">
      <formula>$E$7&lt;&gt;"☑"</formula>
    </cfRule>
  </conditionalFormatting>
  <conditionalFormatting sqref="B20">
    <cfRule type="expression" dxfId="63" priority="11">
      <formula>$E$15&lt;&gt;"☑"</formula>
    </cfRule>
  </conditionalFormatting>
  <conditionalFormatting sqref="C20">
    <cfRule type="expression" dxfId="62" priority="10">
      <formula>$E$15&lt;&gt;"☑"</formula>
    </cfRule>
  </conditionalFormatting>
  <conditionalFormatting sqref="B13:E13">
    <cfRule type="expression" dxfId="61" priority="2">
      <formula>$E$7&lt;&gt;"☑"</formula>
    </cfRule>
  </conditionalFormatting>
  <dataValidations count="2">
    <dataValidation type="decimal" sqref="C1" xr:uid="{00000000-0002-0000-2600-000000000000}">
      <formula1>0</formula1>
      <formula2>5</formula2>
    </dataValidation>
    <dataValidation type="list" sqref="A1 E33:E41 E7 E15" xr:uid="{00000000-0002-0000-2600-000001000000}">
      <formula1>"☐,☑"</formula1>
    </dataValidation>
  </dataValidations>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E37"/>
  <sheetViews>
    <sheetView workbookViewId="0">
      <selection activeCell="F12" sqref="F12"/>
    </sheetView>
  </sheetViews>
  <sheetFormatPr defaultRowHeight="13.8"/>
  <cols>
    <col min="1" max="1" width="7" style="93" customWidth="1"/>
    <col min="2" max="2" width="41.3984375" style="93" customWidth="1"/>
    <col min="3" max="3" width="28" style="93" customWidth="1"/>
    <col min="4" max="4" width="25.59765625" style="93" customWidth="1"/>
    <col min="5" max="5" width="20.796875" style="93" customWidth="1"/>
    <col min="6" max="16384" width="8.796875" style="93"/>
  </cols>
  <sheetData>
    <row r="1" spans="1:5" ht="17.399999999999999">
      <c r="A1" s="91" t="s">
        <v>134</v>
      </c>
      <c r="B1" s="92" t="s">
        <v>163</v>
      </c>
      <c r="C1" s="9">
        <f>MIN(1,MAX(E13,E23))</f>
        <v>1</v>
      </c>
      <c r="D1" s="92" t="s">
        <v>317</v>
      </c>
      <c r="E1" s="92">
        <f>IF('Project Info'!$C$8="New Hotel",1,2)</f>
        <v>2</v>
      </c>
    </row>
    <row r="2" spans="1:5" ht="27.6" customHeight="1">
      <c r="A2" s="94"/>
      <c r="B2" s="532" t="s">
        <v>85</v>
      </c>
      <c r="C2" s="532"/>
      <c r="D2" s="95"/>
      <c r="E2" s="95" t="s">
        <v>84</v>
      </c>
    </row>
    <row r="3" spans="1:5" ht="15.6">
      <c r="A3" s="94"/>
      <c r="B3" s="96" t="s">
        <v>5</v>
      </c>
      <c r="C3" s="97"/>
      <c r="D3" s="97"/>
      <c r="E3" s="97" t="str">
        <f>HYPERLINK("#'Checklist'!A1","Go To Checklist")</f>
        <v>Go To Checklist</v>
      </c>
    </row>
    <row r="4" spans="1:5" ht="46.95" customHeight="1">
      <c r="A4" s="94"/>
      <c r="B4" s="533" t="s">
        <v>710</v>
      </c>
      <c r="C4" s="534"/>
      <c r="D4" s="534"/>
      <c r="E4" s="535"/>
    </row>
    <row r="5" spans="1:5" ht="15.45" customHeight="1">
      <c r="A5" s="94"/>
      <c r="B5" s="115" t="s">
        <v>918</v>
      </c>
      <c r="C5" s="116"/>
      <c r="D5" s="116"/>
      <c r="E5" s="116"/>
    </row>
    <row r="6" spans="1:5" ht="15.6">
      <c r="A6" s="94"/>
      <c r="B6" s="307" t="s">
        <v>837</v>
      </c>
      <c r="C6" s="307"/>
      <c r="D6" s="307"/>
      <c r="E6" s="307"/>
    </row>
    <row r="7" spans="1:5">
      <c r="A7" s="94"/>
      <c r="B7" s="109" t="s">
        <v>940</v>
      </c>
      <c r="C7" s="741" t="s">
        <v>622</v>
      </c>
      <c r="D7" s="741"/>
      <c r="E7" s="110" t="s">
        <v>829</v>
      </c>
    </row>
    <row r="8" spans="1:5" ht="15.6">
      <c r="A8" s="94"/>
      <c r="B8" s="1011" t="s">
        <v>1053</v>
      </c>
      <c r="C8" s="1012" t="s">
        <v>1054</v>
      </c>
      <c r="D8" s="1012"/>
      <c r="E8" s="1012"/>
    </row>
    <row r="9" spans="1:5" ht="15.6">
      <c r="A9" s="94"/>
      <c r="B9" s="1013" t="s">
        <v>1010</v>
      </c>
      <c r="C9" s="1014" t="s">
        <v>1064</v>
      </c>
      <c r="D9" s="1014"/>
      <c r="E9" s="1015"/>
    </row>
    <row r="10" spans="1:5" ht="16.05" customHeight="1">
      <c r="A10" s="516"/>
      <c r="B10" s="1013" t="s">
        <v>1011</v>
      </c>
      <c r="C10" s="1014" t="s">
        <v>1064</v>
      </c>
      <c r="D10" s="1014"/>
      <c r="E10" s="1015"/>
    </row>
    <row r="11" spans="1:5" ht="15.45" customHeight="1">
      <c r="A11" s="94"/>
      <c r="B11" s="365" t="s">
        <v>1553</v>
      </c>
      <c r="C11" s="830" t="s">
        <v>170</v>
      </c>
      <c r="D11" s="830"/>
      <c r="E11" s="1016">
        <f>IFERROR(E10/E9,0)</f>
        <v>0</v>
      </c>
    </row>
    <row r="12" spans="1:5">
      <c r="A12" s="94"/>
      <c r="B12" s="122" t="s">
        <v>352</v>
      </c>
      <c r="C12" s="122" t="s">
        <v>353</v>
      </c>
      <c r="D12" s="122" t="s">
        <v>827</v>
      </c>
      <c r="E12" s="517" t="s">
        <v>6</v>
      </c>
    </row>
    <row r="13" spans="1:5" ht="13.8" customHeight="1">
      <c r="A13" s="94"/>
      <c r="B13" s="365" t="s">
        <v>354</v>
      </c>
      <c r="C13" s="365" t="s">
        <v>355</v>
      </c>
      <c r="D13" s="1020" t="s">
        <v>840</v>
      </c>
      <c r="E13" s="870">
        <f>IF(OR(C8="",E11=""),"",IF(AND(OR(D8="Hilly",D8="Arid",D8="Semi-arid",D8="Other hotels"),E11&gt;=50%),1,0))</f>
        <v>0</v>
      </c>
    </row>
    <row r="14" spans="1:5">
      <c r="A14" s="94"/>
      <c r="B14" s="365" t="s">
        <v>357</v>
      </c>
      <c r="C14" s="365" t="s">
        <v>358</v>
      </c>
      <c r="D14" s="785"/>
      <c r="E14" s="870"/>
    </row>
    <row r="15" spans="1:5">
      <c r="A15" s="94"/>
      <c r="B15" s="616" t="s">
        <v>285</v>
      </c>
      <c r="C15" s="616"/>
      <c r="D15" s="616"/>
      <c r="E15" s="616"/>
    </row>
    <row r="16" spans="1:5" ht="15.6">
      <c r="A16" s="94"/>
      <c r="B16" s="307" t="s">
        <v>838</v>
      </c>
      <c r="C16" s="307"/>
      <c r="D16" s="307"/>
      <c r="E16" s="307"/>
    </row>
    <row r="17" spans="1:5" ht="15.6">
      <c r="A17" s="94"/>
      <c r="B17" s="896" t="str">
        <f>HYPERLINK("#'Local Items'!A1","Click here to go to Local Items Sheet and fill in the data")</f>
        <v>Click here to go to Local Items Sheet and fill in the data</v>
      </c>
      <c r="C17" s="614"/>
      <c r="D17" s="614"/>
      <c r="E17" s="614"/>
    </row>
    <row r="18" spans="1:5" ht="13.8" customHeight="1">
      <c r="A18" s="94"/>
      <c r="B18" s="109" t="s">
        <v>940</v>
      </c>
      <c r="C18" s="741" t="s">
        <v>622</v>
      </c>
      <c r="D18" s="741"/>
      <c r="E18" s="110" t="s">
        <v>829</v>
      </c>
    </row>
    <row r="19" spans="1:5" ht="16.8" customHeight="1">
      <c r="A19" s="94"/>
      <c r="B19" s="1013" t="str">
        <f>'Local Items'!G8</f>
        <v>Total cost of food items</v>
      </c>
      <c r="C19" s="1017" t="str">
        <f>IF(B19="Total weight of food items","kg",IF(B19="Total cost of food items","₹",""))</f>
        <v>₹</v>
      </c>
      <c r="D19" s="1017"/>
      <c r="E19" s="383">
        <f>'Local Items'!I8</f>
        <v>10</v>
      </c>
    </row>
    <row r="20" spans="1:5" ht="15.6" customHeight="1">
      <c r="A20" s="94"/>
      <c r="B20" s="1013" t="str">
        <f>'Local Items'!G9</f>
        <v>Cost of local items</v>
      </c>
      <c r="C20" s="1018" t="str">
        <f>IF(B20="Weight of local items","kg",IF(B20="Cost of local items","₹",""))</f>
        <v>₹</v>
      </c>
      <c r="D20" s="1018"/>
      <c r="E20" s="383">
        <f>'Local Items'!I9</f>
        <v>10</v>
      </c>
    </row>
    <row r="21" spans="1:5">
      <c r="A21" s="94"/>
      <c r="B21" s="365" t="s">
        <v>1556</v>
      </c>
      <c r="C21" s="830" t="s">
        <v>1557</v>
      </c>
      <c r="D21" s="830"/>
      <c r="E21" s="1019">
        <f>IFERROR(E20/E19,0)</f>
        <v>1</v>
      </c>
    </row>
    <row r="22" spans="1:5">
      <c r="A22" s="94"/>
      <c r="B22" s="122" t="s">
        <v>352</v>
      </c>
      <c r="C22" s="122" t="s">
        <v>839</v>
      </c>
      <c r="D22" s="122" t="s">
        <v>163</v>
      </c>
      <c r="E22" s="517" t="s">
        <v>6</v>
      </c>
    </row>
    <row r="23" spans="1:5" ht="13.95" customHeight="1">
      <c r="A23" s="94"/>
      <c r="B23" s="365" t="s">
        <v>354</v>
      </c>
      <c r="C23" s="365" t="s">
        <v>356</v>
      </c>
      <c r="D23" s="1020" t="s">
        <v>840</v>
      </c>
      <c r="E23" s="870">
        <f>IF(AND(E21&lt;&gt;"",E21&gt;=50%),1,0)</f>
        <v>1</v>
      </c>
    </row>
    <row r="24" spans="1:5" ht="18" customHeight="1">
      <c r="A24" s="94"/>
      <c r="B24" s="365" t="s">
        <v>357</v>
      </c>
      <c r="C24" s="365" t="s">
        <v>359</v>
      </c>
      <c r="D24" s="785"/>
      <c r="E24" s="870"/>
    </row>
    <row r="25" spans="1:5" ht="18" customHeight="1">
      <c r="A25" s="94"/>
      <c r="B25" s="97"/>
      <c r="C25" s="97"/>
      <c r="D25" s="124"/>
      <c r="E25" s="124"/>
    </row>
    <row r="26" spans="1:5" ht="18" customHeight="1">
      <c r="A26" s="94"/>
      <c r="B26" s="539" t="s">
        <v>85</v>
      </c>
      <c r="C26" s="539"/>
      <c r="D26" s="275" t="s">
        <v>189</v>
      </c>
      <c r="E26" s="8">
        <f>C1</f>
        <v>1</v>
      </c>
    </row>
    <row r="27" spans="1:5">
      <c r="A27" s="94"/>
      <c r="B27" s="97"/>
      <c r="C27" s="97"/>
      <c r="D27" s="97"/>
      <c r="E27" s="97"/>
    </row>
    <row r="28" spans="1:5" ht="18" customHeight="1">
      <c r="A28" s="94"/>
      <c r="B28" s="537" t="s">
        <v>146</v>
      </c>
      <c r="C28" s="537"/>
      <c r="D28" s="537"/>
      <c r="E28" s="537"/>
    </row>
    <row r="29" spans="1:5" ht="17.399999999999999">
      <c r="A29" s="94"/>
      <c r="B29" s="748" t="s">
        <v>837</v>
      </c>
      <c r="C29" s="748"/>
      <c r="D29" s="748"/>
      <c r="E29" s="101"/>
    </row>
    <row r="30" spans="1:5" ht="17.399999999999999">
      <c r="A30" s="209"/>
      <c r="B30" s="538" t="s">
        <v>841</v>
      </c>
      <c r="C30" s="538"/>
      <c r="D30" s="538"/>
      <c r="E30" s="101" t="s">
        <v>139</v>
      </c>
    </row>
    <row r="31" spans="1:5" ht="17.399999999999999">
      <c r="A31" s="209"/>
      <c r="B31" s="748" t="s">
        <v>838</v>
      </c>
      <c r="C31" s="748"/>
      <c r="D31" s="748"/>
      <c r="E31" s="101"/>
    </row>
    <row r="32" spans="1:5" ht="17.399999999999999">
      <c r="A32" s="209"/>
      <c r="B32" s="538" t="s">
        <v>842</v>
      </c>
      <c r="C32" s="538"/>
      <c r="D32" s="538"/>
      <c r="E32" s="101" t="s">
        <v>139</v>
      </c>
    </row>
    <row r="33" spans="1:5" ht="17.399999999999999">
      <c r="A33" s="209"/>
      <c r="B33" s="538" t="s">
        <v>843</v>
      </c>
      <c r="C33" s="538"/>
      <c r="D33" s="538"/>
      <c r="E33" s="101" t="s">
        <v>139</v>
      </c>
    </row>
    <row r="34" spans="1:5" ht="14.4">
      <c r="A34" s="209"/>
    </row>
    <row r="35" spans="1:5" ht="14.4">
      <c r="A35" s="209"/>
    </row>
    <row r="36" spans="1:5" ht="14.4">
      <c r="A36" s="209"/>
    </row>
    <row r="37" spans="1:5" ht="14.4">
      <c r="A37" s="209"/>
    </row>
  </sheetData>
  <sheetProtection sheet="1" objects="1" scenarios="1"/>
  <mergeCells count="24">
    <mergeCell ref="C18:D18"/>
    <mergeCell ref="C19:D19"/>
    <mergeCell ref="C20:D20"/>
    <mergeCell ref="C21:D21"/>
    <mergeCell ref="C7:D7"/>
    <mergeCell ref="C9:D9"/>
    <mergeCell ref="C10:D10"/>
    <mergeCell ref="C11:D11"/>
    <mergeCell ref="B2:C2"/>
    <mergeCell ref="B4:E4"/>
    <mergeCell ref="C8:E8"/>
    <mergeCell ref="B33:D33"/>
    <mergeCell ref="B30:D30"/>
    <mergeCell ref="B31:D31"/>
    <mergeCell ref="B32:D32"/>
    <mergeCell ref="B28:E28"/>
    <mergeCell ref="E23:E24"/>
    <mergeCell ref="B29:D29"/>
    <mergeCell ref="B26:C26"/>
    <mergeCell ref="B15:E15"/>
    <mergeCell ref="D13:D14"/>
    <mergeCell ref="E13:E14"/>
    <mergeCell ref="D23:D24"/>
    <mergeCell ref="B17:E17"/>
  </mergeCells>
  <dataValidations count="3">
    <dataValidation type="decimal" sqref="C1" xr:uid="{00000000-0002-0000-2700-000000000000}">
      <formula1>0</formula1>
      <formula2>2</formula2>
    </dataValidation>
    <dataValidation type="list" sqref="A1 E29:E33" xr:uid="{00000000-0002-0000-2700-000001000000}">
      <formula1>"☐,☑"</formula1>
    </dataValidation>
    <dataValidation type="list" allowBlank="1" showInputMessage="1" showErrorMessage="1" sqref="C8" xr:uid="{457E413B-F513-4F32-9B21-AD68DAA6A5A3}">
      <formula1>"Hilly, Arid, Semi-arid, Others"</formula1>
    </dataValidation>
  </dataValidation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14DFD-54CB-4954-A0FC-1B5E08346531}">
  <sheetPr codeName="Sheet64">
    <tabColor rgb="FFC00000"/>
  </sheetPr>
  <dimension ref="A1:I138"/>
  <sheetViews>
    <sheetView workbookViewId="0">
      <selection sqref="A1:E1"/>
    </sheetView>
  </sheetViews>
  <sheetFormatPr defaultRowHeight="13.8"/>
  <cols>
    <col min="1" max="1" width="19.59765625" customWidth="1"/>
    <col min="2" max="2" width="42" customWidth="1"/>
    <col min="3" max="3" width="22" customWidth="1"/>
    <col min="4" max="4" width="23.8984375" customWidth="1"/>
    <col min="5" max="5" width="19.796875" customWidth="1"/>
    <col min="8" max="8" width="22.59765625" customWidth="1"/>
  </cols>
  <sheetData>
    <row r="1" spans="1:9" ht="17.399999999999999">
      <c r="A1" s="898" t="s">
        <v>1061</v>
      </c>
      <c r="B1" s="898"/>
      <c r="C1" s="898"/>
      <c r="D1" s="898"/>
      <c r="E1" s="898"/>
    </row>
    <row r="2" spans="1:9" ht="14.4" customHeight="1">
      <c r="A2" s="899" t="s">
        <v>1062</v>
      </c>
      <c r="B2" s="899"/>
      <c r="C2" s="899"/>
      <c r="D2" s="899"/>
      <c r="E2" s="899"/>
      <c r="F2" s="52"/>
    </row>
    <row r="3" spans="1:9" ht="15.6">
      <c r="A3" s="53" t="s">
        <v>1052</v>
      </c>
      <c r="B3" s="900"/>
      <c r="C3" s="900"/>
      <c r="D3" s="900"/>
      <c r="E3" s="900"/>
    </row>
    <row r="4" spans="1:9" ht="15.6">
      <c r="A4" s="53" t="s">
        <v>1053</v>
      </c>
      <c r="B4" s="901" t="s">
        <v>1054</v>
      </c>
      <c r="C4" s="901"/>
      <c r="D4" s="901"/>
      <c r="E4" s="901"/>
    </row>
    <row r="5" spans="1:9" ht="15.6">
      <c r="A5" s="53" t="s">
        <v>1554</v>
      </c>
      <c r="B5" s="901" t="s">
        <v>1555</v>
      </c>
      <c r="C5" s="901"/>
      <c r="D5" s="901"/>
      <c r="E5" s="901"/>
    </row>
    <row r="6" spans="1:9" ht="45.6" customHeight="1">
      <c r="A6" s="57" t="s">
        <v>1048</v>
      </c>
      <c r="B6" s="57" t="s">
        <v>1049</v>
      </c>
      <c r="C6" s="74" t="str">
        <f>IF(B5="By Cost","Cost of the Item (₹)",IF(B5="By Weight","Weight of the Item (kg)",""))</f>
        <v>Cost of the Item (₹)</v>
      </c>
      <c r="D6" s="57" t="s">
        <v>1050</v>
      </c>
      <c r="E6" s="57" t="s">
        <v>1051</v>
      </c>
    </row>
    <row r="7" spans="1:9" ht="15" customHeight="1">
      <c r="A7" s="25">
        <v>1</v>
      </c>
      <c r="B7" s="25" t="s">
        <v>1558</v>
      </c>
      <c r="C7" s="25">
        <v>10</v>
      </c>
      <c r="D7" s="25">
        <v>100</v>
      </c>
      <c r="E7" s="25" t="str">
        <f>IF(OR(D7="",D7&lt;=0),"",IF(D7&lt;=IF(OR($B$4="Hilly",$B$4="Arid",$B$4="Semi-arid"),200,50),"Local","Non-Local"))</f>
        <v>Local</v>
      </c>
    </row>
    <row r="8" spans="1:9" ht="15" customHeight="1">
      <c r="A8" s="25">
        <v>2</v>
      </c>
      <c r="B8" s="25"/>
      <c r="C8" s="25"/>
      <c r="D8" s="25"/>
      <c r="E8" s="25" t="str">
        <f t="shared" ref="E8:E71" si="0">IF(OR(D8="",D8&lt;=0),"",IF(D8&lt;=IF(OR($B$4="Hilly",$B$4="Arid",$B$4="Semi-arid"),200,50),"Local","Non-Local"))</f>
        <v/>
      </c>
      <c r="G8" s="897" t="str">
        <f>IF(B5="By Cost","Total cost of food items",IF(B5="By Weight","Total weight of food items",""))</f>
        <v>Total cost of food items</v>
      </c>
      <c r="H8" s="897"/>
      <c r="I8" s="32">
        <f>SUM(C7:C123)</f>
        <v>10</v>
      </c>
    </row>
    <row r="9" spans="1:9" ht="15" customHeight="1">
      <c r="A9" s="25">
        <v>3</v>
      </c>
      <c r="B9" s="25"/>
      <c r="C9" s="25"/>
      <c r="D9" s="25"/>
      <c r="E9" s="25" t="str">
        <f t="shared" si="0"/>
        <v/>
      </c>
      <c r="G9" s="897" t="str">
        <f>IF(B5="By Cost","Cost of local items",IF(B5="By Weight","Weight of local items",""))</f>
        <v>Cost of local items</v>
      </c>
      <c r="H9" s="897"/>
      <c r="I9" s="31">
        <f>SUMIF(E7:E123,"Local",C7:C123)</f>
        <v>10</v>
      </c>
    </row>
    <row r="10" spans="1:9" ht="15" customHeight="1">
      <c r="A10" s="25">
        <v>4</v>
      </c>
      <c r="B10" s="25"/>
      <c r="C10" s="25"/>
      <c r="D10" s="25"/>
      <c r="E10" s="25" t="str">
        <f t="shared" si="0"/>
        <v/>
      </c>
    </row>
    <row r="11" spans="1:9" ht="15" customHeight="1">
      <c r="A11" s="25">
        <v>5</v>
      </c>
      <c r="B11" s="25"/>
      <c r="C11" s="25"/>
      <c r="D11" s="25"/>
      <c r="E11" s="25" t="str">
        <f t="shared" si="0"/>
        <v/>
      </c>
    </row>
    <row r="12" spans="1:9" ht="15" customHeight="1">
      <c r="A12" s="25">
        <v>6</v>
      </c>
      <c r="B12" s="25"/>
      <c r="C12" s="25"/>
      <c r="D12" s="25"/>
      <c r="E12" s="25" t="str">
        <f t="shared" si="0"/>
        <v/>
      </c>
    </row>
    <row r="13" spans="1:9" ht="15" customHeight="1">
      <c r="A13" s="25">
        <v>7</v>
      </c>
      <c r="B13" s="25"/>
      <c r="C13" s="25"/>
      <c r="D13" s="25"/>
      <c r="E13" s="25" t="str">
        <f t="shared" si="0"/>
        <v/>
      </c>
    </row>
    <row r="14" spans="1:9" ht="15" customHeight="1">
      <c r="A14" s="25">
        <v>8</v>
      </c>
      <c r="B14" s="25"/>
      <c r="C14" s="25"/>
      <c r="D14" s="25"/>
      <c r="E14" s="25" t="str">
        <f t="shared" si="0"/>
        <v/>
      </c>
    </row>
    <row r="15" spans="1:9" ht="15" customHeight="1">
      <c r="A15" s="25">
        <v>9</v>
      </c>
      <c r="B15" s="25"/>
      <c r="C15" s="25"/>
      <c r="D15" s="25"/>
      <c r="E15" s="25" t="str">
        <f t="shared" si="0"/>
        <v/>
      </c>
    </row>
    <row r="16" spans="1:9" ht="15" customHeight="1">
      <c r="A16" s="25">
        <v>10</v>
      </c>
      <c r="B16" s="25"/>
      <c r="C16" s="25"/>
      <c r="D16" s="25"/>
      <c r="E16" s="25" t="str">
        <f t="shared" si="0"/>
        <v/>
      </c>
    </row>
    <row r="17" spans="1:5" ht="15" customHeight="1">
      <c r="A17" s="25">
        <v>11</v>
      </c>
      <c r="B17" s="25"/>
      <c r="C17" s="25"/>
      <c r="D17" s="25"/>
      <c r="E17" s="25" t="str">
        <f t="shared" si="0"/>
        <v/>
      </c>
    </row>
    <row r="18" spans="1:5" ht="15" customHeight="1">
      <c r="A18" s="25">
        <v>12</v>
      </c>
      <c r="B18" s="25"/>
      <c r="C18" s="25"/>
      <c r="D18" s="25"/>
      <c r="E18" s="25" t="str">
        <f t="shared" si="0"/>
        <v/>
      </c>
    </row>
    <row r="19" spans="1:5" ht="15" customHeight="1">
      <c r="A19" s="25">
        <v>13</v>
      </c>
      <c r="B19" s="25"/>
      <c r="C19" s="25"/>
      <c r="D19" s="25"/>
      <c r="E19" s="25" t="str">
        <f t="shared" si="0"/>
        <v/>
      </c>
    </row>
    <row r="20" spans="1:5" ht="15" customHeight="1">
      <c r="A20" s="25">
        <v>14</v>
      </c>
      <c r="B20" s="25"/>
      <c r="C20" s="25"/>
      <c r="D20" s="25"/>
      <c r="E20" s="25" t="str">
        <f t="shared" si="0"/>
        <v/>
      </c>
    </row>
    <row r="21" spans="1:5" ht="15" customHeight="1">
      <c r="A21" s="25">
        <v>15</v>
      </c>
      <c r="B21" s="25"/>
      <c r="C21" s="25"/>
      <c r="D21" s="25"/>
      <c r="E21" s="25" t="str">
        <f t="shared" si="0"/>
        <v/>
      </c>
    </row>
    <row r="22" spans="1:5" ht="15" customHeight="1">
      <c r="A22" s="25">
        <v>16</v>
      </c>
      <c r="B22" s="25"/>
      <c r="C22" s="25"/>
      <c r="D22" s="25"/>
      <c r="E22" s="25" t="str">
        <f t="shared" si="0"/>
        <v/>
      </c>
    </row>
    <row r="23" spans="1:5" ht="15" customHeight="1">
      <c r="A23" s="25">
        <v>17</v>
      </c>
      <c r="B23" s="25"/>
      <c r="C23" s="25"/>
      <c r="D23" s="25"/>
      <c r="E23" s="25" t="str">
        <f t="shared" si="0"/>
        <v/>
      </c>
    </row>
    <row r="24" spans="1:5" ht="15" customHeight="1">
      <c r="A24" s="25">
        <v>18</v>
      </c>
      <c r="B24" s="25"/>
      <c r="C24" s="25"/>
      <c r="D24" s="25"/>
      <c r="E24" s="25" t="str">
        <f t="shared" si="0"/>
        <v/>
      </c>
    </row>
    <row r="25" spans="1:5" ht="15" customHeight="1">
      <c r="A25" s="25">
        <v>19</v>
      </c>
      <c r="B25" s="25"/>
      <c r="C25" s="25"/>
      <c r="D25" s="25"/>
      <c r="E25" s="25" t="str">
        <f t="shared" si="0"/>
        <v/>
      </c>
    </row>
    <row r="26" spans="1:5" ht="15" customHeight="1">
      <c r="A26" s="25">
        <v>20</v>
      </c>
      <c r="B26" s="25"/>
      <c r="C26" s="25"/>
      <c r="D26" s="25"/>
      <c r="E26" s="25" t="str">
        <f t="shared" si="0"/>
        <v/>
      </c>
    </row>
    <row r="27" spans="1:5" ht="15" customHeight="1">
      <c r="A27" s="25">
        <v>21</v>
      </c>
      <c r="B27" s="25"/>
      <c r="C27" s="25"/>
      <c r="D27" s="25"/>
      <c r="E27" s="25" t="str">
        <f t="shared" si="0"/>
        <v/>
      </c>
    </row>
    <row r="28" spans="1:5" ht="15" customHeight="1">
      <c r="A28" s="25">
        <v>22</v>
      </c>
      <c r="B28" s="25"/>
      <c r="C28" s="25"/>
      <c r="D28" s="25"/>
      <c r="E28" s="25" t="str">
        <f t="shared" si="0"/>
        <v/>
      </c>
    </row>
    <row r="29" spans="1:5" ht="15" customHeight="1">
      <c r="A29" s="25">
        <v>23</v>
      </c>
      <c r="B29" s="25"/>
      <c r="C29" s="25"/>
      <c r="D29" s="25"/>
      <c r="E29" s="25" t="str">
        <f t="shared" si="0"/>
        <v/>
      </c>
    </row>
    <row r="30" spans="1:5" ht="15" customHeight="1">
      <c r="A30" s="25">
        <v>24</v>
      </c>
      <c r="B30" s="25"/>
      <c r="C30" s="25"/>
      <c r="D30" s="25"/>
      <c r="E30" s="25" t="str">
        <f t="shared" si="0"/>
        <v/>
      </c>
    </row>
    <row r="31" spans="1:5" ht="15" customHeight="1">
      <c r="A31" s="25">
        <v>25</v>
      </c>
      <c r="B31" s="25"/>
      <c r="C31" s="25"/>
      <c r="D31" s="25"/>
      <c r="E31" s="25" t="str">
        <f t="shared" si="0"/>
        <v/>
      </c>
    </row>
    <row r="32" spans="1:5" ht="15" customHeight="1">
      <c r="A32" s="25">
        <v>26</v>
      </c>
      <c r="B32" s="25"/>
      <c r="C32" s="25"/>
      <c r="D32" s="25"/>
      <c r="E32" s="25" t="str">
        <f t="shared" si="0"/>
        <v/>
      </c>
    </row>
    <row r="33" spans="1:5" ht="15" customHeight="1">
      <c r="A33" s="25">
        <v>27</v>
      </c>
      <c r="B33" s="25"/>
      <c r="C33" s="25"/>
      <c r="D33" s="25"/>
      <c r="E33" s="25" t="str">
        <f t="shared" si="0"/>
        <v/>
      </c>
    </row>
    <row r="34" spans="1:5" ht="15" customHeight="1">
      <c r="A34" s="25">
        <v>28</v>
      </c>
      <c r="B34" s="25"/>
      <c r="C34" s="25"/>
      <c r="D34" s="25"/>
      <c r="E34" s="25" t="str">
        <f t="shared" si="0"/>
        <v/>
      </c>
    </row>
    <row r="35" spans="1:5" ht="15" customHeight="1">
      <c r="A35" s="25">
        <v>29</v>
      </c>
      <c r="B35" s="25"/>
      <c r="C35" s="25"/>
      <c r="D35" s="25"/>
      <c r="E35" s="25" t="str">
        <f t="shared" si="0"/>
        <v/>
      </c>
    </row>
    <row r="36" spans="1:5" ht="15" customHeight="1">
      <c r="A36" s="25">
        <v>30</v>
      </c>
      <c r="B36" s="25"/>
      <c r="C36" s="25"/>
      <c r="D36" s="25"/>
      <c r="E36" s="25" t="str">
        <f t="shared" si="0"/>
        <v/>
      </c>
    </row>
    <row r="37" spans="1:5" ht="15" customHeight="1">
      <c r="A37" s="25">
        <v>31</v>
      </c>
      <c r="B37" s="25"/>
      <c r="C37" s="25"/>
      <c r="D37" s="25"/>
      <c r="E37" s="25" t="str">
        <f t="shared" si="0"/>
        <v/>
      </c>
    </row>
    <row r="38" spans="1:5" ht="15" customHeight="1">
      <c r="A38" s="25">
        <v>32</v>
      </c>
      <c r="B38" s="25"/>
      <c r="C38" s="25"/>
      <c r="D38" s="25"/>
      <c r="E38" s="25" t="str">
        <f t="shared" si="0"/>
        <v/>
      </c>
    </row>
    <row r="39" spans="1:5" ht="15" customHeight="1">
      <c r="A39" s="25">
        <v>33</v>
      </c>
      <c r="B39" s="25"/>
      <c r="C39" s="25"/>
      <c r="D39" s="25"/>
      <c r="E39" s="25" t="str">
        <f t="shared" si="0"/>
        <v/>
      </c>
    </row>
    <row r="40" spans="1:5" ht="15" customHeight="1">
      <c r="A40" s="25">
        <v>34</v>
      </c>
      <c r="B40" s="25"/>
      <c r="C40" s="25"/>
      <c r="D40" s="25"/>
      <c r="E40" s="25" t="str">
        <f t="shared" si="0"/>
        <v/>
      </c>
    </row>
    <row r="41" spans="1:5" ht="15" customHeight="1">
      <c r="A41" s="25">
        <v>35</v>
      </c>
      <c r="B41" s="25"/>
      <c r="C41" s="25"/>
      <c r="D41" s="25"/>
      <c r="E41" s="25" t="str">
        <f t="shared" si="0"/>
        <v/>
      </c>
    </row>
    <row r="42" spans="1:5" ht="15" customHeight="1">
      <c r="A42" s="25">
        <v>36</v>
      </c>
      <c r="B42" s="25"/>
      <c r="C42" s="25"/>
      <c r="D42" s="25"/>
      <c r="E42" s="25" t="str">
        <f t="shared" si="0"/>
        <v/>
      </c>
    </row>
    <row r="43" spans="1:5" ht="15" customHeight="1">
      <c r="A43" s="25">
        <v>37</v>
      </c>
      <c r="B43" s="25"/>
      <c r="C43" s="25"/>
      <c r="D43" s="25"/>
      <c r="E43" s="25" t="str">
        <f t="shared" si="0"/>
        <v/>
      </c>
    </row>
    <row r="44" spans="1:5" ht="15" customHeight="1">
      <c r="A44" s="25">
        <v>38</v>
      </c>
      <c r="B44" s="25"/>
      <c r="C44" s="25"/>
      <c r="D44" s="25"/>
      <c r="E44" s="25" t="str">
        <f t="shared" si="0"/>
        <v/>
      </c>
    </row>
    <row r="45" spans="1:5" ht="15" customHeight="1">
      <c r="A45" s="25">
        <v>39</v>
      </c>
      <c r="B45" s="25"/>
      <c r="C45" s="25"/>
      <c r="D45" s="25"/>
      <c r="E45" s="25" t="str">
        <f t="shared" si="0"/>
        <v/>
      </c>
    </row>
    <row r="46" spans="1:5" ht="15" customHeight="1">
      <c r="A46" s="25">
        <v>40</v>
      </c>
      <c r="B46" s="25"/>
      <c r="C46" s="25"/>
      <c r="D46" s="25"/>
      <c r="E46" s="25" t="str">
        <f t="shared" si="0"/>
        <v/>
      </c>
    </row>
    <row r="47" spans="1:5" ht="15" customHeight="1">
      <c r="A47" s="25">
        <v>41</v>
      </c>
      <c r="B47" s="25"/>
      <c r="C47" s="25"/>
      <c r="D47" s="25"/>
      <c r="E47" s="25" t="str">
        <f t="shared" si="0"/>
        <v/>
      </c>
    </row>
    <row r="48" spans="1:5" ht="15" customHeight="1">
      <c r="A48" s="25">
        <v>42</v>
      </c>
      <c r="B48" s="25"/>
      <c r="C48" s="25"/>
      <c r="D48" s="25"/>
      <c r="E48" s="25" t="str">
        <f t="shared" si="0"/>
        <v/>
      </c>
    </row>
    <row r="49" spans="1:5" ht="15" customHeight="1">
      <c r="A49" s="25">
        <v>43</v>
      </c>
      <c r="B49" s="25"/>
      <c r="C49" s="25"/>
      <c r="D49" s="25"/>
      <c r="E49" s="25" t="str">
        <f t="shared" si="0"/>
        <v/>
      </c>
    </row>
    <row r="50" spans="1:5" ht="15" customHeight="1">
      <c r="A50" s="25">
        <v>44</v>
      </c>
      <c r="B50" s="25"/>
      <c r="C50" s="25"/>
      <c r="D50" s="25"/>
      <c r="E50" s="25" t="str">
        <f t="shared" si="0"/>
        <v/>
      </c>
    </row>
    <row r="51" spans="1:5" ht="15" customHeight="1">
      <c r="A51" s="25">
        <v>45</v>
      </c>
      <c r="B51" s="25"/>
      <c r="C51" s="25"/>
      <c r="D51" s="25"/>
      <c r="E51" s="25" t="str">
        <f t="shared" si="0"/>
        <v/>
      </c>
    </row>
    <row r="52" spans="1:5" ht="15" customHeight="1">
      <c r="A52" s="25">
        <v>46</v>
      </c>
      <c r="B52" s="25"/>
      <c r="C52" s="25"/>
      <c r="D52" s="25"/>
      <c r="E52" s="25" t="str">
        <f t="shared" si="0"/>
        <v/>
      </c>
    </row>
    <row r="53" spans="1:5" ht="15" customHeight="1">
      <c r="A53" s="25">
        <v>47</v>
      </c>
      <c r="B53" s="25"/>
      <c r="C53" s="25"/>
      <c r="D53" s="25"/>
      <c r="E53" s="25" t="str">
        <f t="shared" si="0"/>
        <v/>
      </c>
    </row>
    <row r="54" spans="1:5" ht="15" customHeight="1">
      <c r="A54" s="25">
        <v>48</v>
      </c>
      <c r="B54" s="25"/>
      <c r="C54" s="25"/>
      <c r="D54" s="25"/>
      <c r="E54" s="25" t="str">
        <f t="shared" si="0"/>
        <v/>
      </c>
    </row>
    <row r="55" spans="1:5" ht="15" customHeight="1">
      <c r="A55" s="25">
        <v>49</v>
      </c>
      <c r="B55" s="25"/>
      <c r="C55" s="25"/>
      <c r="D55" s="25"/>
      <c r="E55" s="25" t="str">
        <f t="shared" si="0"/>
        <v/>
      </c>
    </row>
    <row r="56" spans="1:5" ht="15" customHeight="1">
      <c r="A56" s="25">
        <v>50</v>
      </c>
      <c r="B56" s="25"/>
      <c r="C56" s="25"/>
      <c r="D56" s="25"/>
      <c r="E56" s="25" t="str">
        <f t="shared" si="0"/>
        <v/>
      </c>
    </row>
    <row r="57" spans="1:5" ht="15" customHeight="1">
      <c r="A57" s="25">
        <v>51</v>
      </c>
      <c r="B57" s="25"/>
      <c r="C57" s="25"/>
      <c r="D57" s="25"/>
      <c r="E57" s="25" t="str">
        <f t="shared" si="0"/>
        <v/>
      </c>
    </row>
    <row r="58" spans="1:5" ht="15" customHeight="1">
      <c r="A58" s="25">
        <v>52</v>
      </c>
      <c r="B58" s="25"/>
      <c r="C58" s="25"/>
      <c r="D58" s="25"/>
      <c r="E58" s="25" t="str">
        <f t="shared" si="0"/>
        <v/>
      </c>
    </row>
    <row r="59" spans="1:5" ht="15" customHeight="1">
      <c r="A59" s="25">
        <v>53</v>
      </c>
      <c r="B59" s="25"/>
      <c r="C59" s="25"/>
      <c r="D59" s="25"/>
      <c r="E59" s="25" t="str">
        <f t="shared" si="0"/>
        <v/>
      </c>
    </row>
    <row r="60" spans="1:5" ht="15" customHeight="1">
      <c r="A60" s="25">
        <v>54</v>
      </c>
      <c r="B60" s="25"/>
      <c r="C60" s="25"/>
      <c r="D60" s="25"/>
      <c r="E60" s="25" t="str">
        <f t="shared" si="0"/>
        <v/>
      </c>
    </row>
    <row r="61" spans="1:5" ht="15" customHeight="1">
      <c r="A61" s="25">
        <v>55</v>
      </c>
      <c r="B61" s="25"/>
      <c r="C61" s="25"/>
      <c r="D61" s="25"/>
      <c r="E61" s="25" t="str">
        <f t="shared" si="0"/>
        <v/>
      </c>
    </row>
    <row r="62" spans="1:5" ht="15" customHeight="1">
      <c r="A62" s="25">
        <v>56</v>
      </c>
      <c r="B62" s="25"/>
      <c r="C62" s="25"/>
      <c r="D62" s="25"/>
      <c r="E62" s="25" t="str">
        <f t="shared" si="0"/>
        <v/>
      </c>
    </row>
    <row r="63" spans="1:5" ht="15" customHeight="1">
      <c r="A63" s="25">
        <v>57</v>
      </c>
      <c r="B63" s="25"/>
      <c r="C63" s="25"/>
      <c r="D63" s="25"/>
      <c r="E63" s="25" t="str">
        <f t="shared" si="0"/>
        <v/>
      </c>
    </row>
    <row r="64" spans="1:5" ht="15" customHeight="1">
      <c r="A64" s="25">
        <v>58</v>
      </c>
      <c r="B64" s="25"/>
      <c r="C64" s="25"/>
      <c r="D64" s="25"/>
      <c r="E64" s="25" t="str">
        <f t="shared" si="0"/>
        <v/>
      </c>
    </row>
    <row r="65" spans="1:5" ht="15" customHeight="1">
      <c r="A65" s="25">
        <v>59</v>
      </c>
      <c r="B65" s="25"/>
      <c r="C65" s="25"/>
      <c r="D65" s="25"/>
      <c r="E65" s="25" t="str">
        <f t="shared" si="0"/>
        <v/>
      </c>
    </row>
    <row r="66" spans="1:5" ht="15" customHeight="1">
      <c r="A66" s="25">
        <v>60</v>
      </c>
      <c r="B66" s="25"/>
      <c r="C66" s="25"/>
      <c r="D66" s="25"/>
      <c r="E66" s="25" t="str">
        <f t="shared" si="0"/>
        <v/>
      </c>
    </row>
    <row r="67" spans="1:5" ht="15" customHeight="1">
      <c r="A67" s="25">
        <v>61</v>
      </c>
      <c r="B67" s="25"/>
      <c r="C67" s="25"/>
      <c r="D67" s="25"/>
      <c r="E67" s="25" t="str">
        <f t="shared" si="0"/>
        <v/>
      </c>
    </row>
    <row r="68" spans="1:5" ht="15" customHeight="1">
      <c r="A68" s="25">
        <v>62</v>
      </c>
      <c r="B68" s="25"/>
      <c r="C68" s="25"/>
      <c r="D68" s="25"/>
      <c r="E68" s="25" t="str">
        <f t="shared" si="0"/>
        <v/>
      </c>
    </row>
    <row r="69" spans="1:5" ht="15" customHeight="1">
      <c r="A69" s="25">
        <v>63</v>
      </c>
      <c r="B69" s="25"/>
      <c r="C69" s="25"/>
      <c r="D69" s="25"/>
      <c r="E69" s="25" t="str">
        <f t="shared" si="0"/>
        <v/>
      </c>
    </row>
    <row r="70" spans="1:5" ht="15" customHeight="1">
      <c r="A70" s="25">
        <v>64</v>
      </c>
      <c r="B70" s="25"/>
      <c r="C70" s="25"/>
      <c r="D70" s="25"/>
      <c r="E70" s="25" t="str">
        <f t="shared" si="0"/>
        <v/>
      </c>
    </row>
    <row r="71" spans="1:5" ht="15" customHeight="1">
      <c r="A71" s="25">
        <v>65</v>
      </c>
      <c r="B71" s="25"/>
      <c r="C71" s="25"/>
      <c r="D71" s="25"/>
      <c r="E71" s="25" t="str">
        <f t="shared" si="0"/>
        <v/>
      </c>
    </row>
    <row r="72" spans="1:5" ht="15" customHeight="1">
      <c r="A72" s="25">
        <v>66</v>
      </c>
      <c r="B72" s="25"/>
      <c r="C72" s="25"/>
      <c r="D72" s="25"/>
      <c r="E72" s="25" t="str">
        <f t="shared" ref="E72:E123" si="1">IF(OR(D72="",D72&lt;=0),"",IF(D72&lt;=IF(OR($B$4="Hilly",$B$4="Arid",$B$4="Semi-arid"),200,50),"Local","Non-Local"))</f>
        <v/>
      </c>
    </row>
    <row r="73" spans="1:5" ht="15" customHeight="1">
      <c r="A73" s="25">
        <v>67</v>
      </c>
      <c r="B73" s="25"/>
      <c r="C73" s="25"/>
      <c r="D73" s="25"/>
      <c r="E73" s="25" t="str">
        <f t="shared" si="1"/>
        <v/>
      </c>
    </row>
    <row r="74" spans="1:5" ht="15" customHeight="1">
      <c r="A74" s="25">
        <v>68</v>
      </c>
      <c r="B74" s="25"/>
      <c r="C74" s="25"/>
      <c r="D74" s="25"/>
      <c r="E74" s="25" t="str">
        <f t="shared" si="1"/>
        <v/>
      </c>
    </row>
    <row r="75" spans="1:5" ht="15" customHeight="1">
      <c r="A75" s="25">
        <v>69</v>
      </c>
      <c r="B75" s="25"/>
      <c r="C75" s="25"/>
      <c r="D75" s="25"/>
      <c r="E75" s="25" t="str">
        <f t="shared" si="1"/>
        <v/>
      </c>
    </row>
    <row r="76" spans="1:5" ht="15" customHeight="1">
      <c r="A76" s="25">
        <v>70</v>
      </c>
      <c r="B76" s="25"/>
      <c r="C76" s="25"/>
      <c r="D76" s="25"/>
      <c r="E76" s="25" t="str">
        <f t="shared" si="1"/>
        <v/>
      </c>
    </row>
    <row r="77" spans="1:5" ht="15" customHeight="1">
      <c r="A77" s="25">
        <v>71</v>
      </c>
      <c r="B77" s="25"/>
      <c r="C77" s="25"/>
      <c r="D77" s="25"/>
      <c r="E77" s="25" t="str">
        <f t="shared" si="1"/>
        <v/>
      </c>
    </row>
    <row r="78" spans="1:5" ht="15" customHeight="1">
      <c r="A78" s="25">
        <v>72</v>
      </c>
      <c r="B78" s="25"/>
      <c r="C78" s="25"/>
      <c r="D78" s="25"/>
      <c r="E78" s="25" t="str">
        <f t="shared" si="1"/>
        <v/>
      </c>
    </row>
    <row r="79" spans="1:5" ht="15" customHeight="1">
      <c r="A79" s="25">
        <v>73</v>
      </c>
      <c r="B79" s="25"/>
      <c r="C79" s="25"/>
      <c r="D79" s="25"/>
      <c r="E79" s="25" t="str">
        <f t="shared" si="1"/>
        <v/>
      </c>
    </row>
    <row r="80" spans="1:5" ht="15" customHeight="1">
      <c r="A80" s="25">
        <v>74</v>
      </c>
      <c r="B80" s="25"/>
      <c r="C80" s="25"/>
      <c r="D80" s="25"/>
      <c r="E80" s="25" t="str">
        <f t="shared" si="1"/>
        <v/>
      </c>
    </row>
    <row r="81" spans="1:5" ht="15" customHeight="1">
      <c r="A81" s="25">
        <v>75</v>
      </c>
      <c r="B81" s="25"/>
      <c r="C81" s="25"/>
      <c r="D81" s="25"/>
      <c r="E81" s="25" t="str">
        <f t="shared" si="1"/>
        <v/>
      </c>
    </row>
    <row r="82" spans="1:5" ht="15" customHeight="1">
      <c r="A82" s="25">
        <v>76</v>
      </c>
      <c r="B82" s="25"/>
      <c r="C82" s="25"/>
      <c r="D82" s="25"/>
      <c r="E82" s="25" t="str">
        <f t="shared" si="1"/>
        <v/>
      </c>
    </row>
    <row r="83" spans="1:5" ht="15" customHeight="1">
      <c r="A83" s="25">
        <v>77</v>
      </c>
      <c r="B83" s="25"/>
      <c r="C83" s="25"/>
      <c r="D83" s="25"/>
      <c r="E83" s="25" t="str">
        <f t="shared" si="1"/>
        <v/>
      </c>
    </row>
    <row r="84" spans="1:5" ht="15" customHeight="1">
      <c r="A84" s="25">
        <v>78</v>
      </c>
      <c r="B84" s="25"/>
      <c r="C84" s="25"/>
      <c r="D84" s="25"/>
      <c r="E84" s="25" t="str">
        <f t="shared" si="1"/>
        <v/>
      </c>
    </row>
    <row r="85" spans="1:5" ht="15" customHeight="1">
      <c r="A85" s="25">
        <v>79</v>
      </c>
      <c r="B85" s="25"/>
      <c r="C85" s="25"/>
      <c r="D85" s="25"/>
      <c r="E85" s="25" t="str">
        <f t="shared" si="1"/>
        <v/>
      </c>
    </row>
    <row r="86" spans="1:5" ht="15" customHeight="1">
      <c r="A86" s="25">
        <v>80</v>
      </c>
      <c r="B86" s="25"/>
      <c r="C86" s="25"/>
      <c r="D86" s="25"/>
      <c r="E86" s="25" t="str">
        <f t="shared" si="1"/>
        <v/>
      </c>
    </row>
    <row r="87" spans="1:5" ht="15" customHeight="1">
      <c r="A87" s="25">
        <v>81</v>
      </c>
      <c r="B87" s="25"/>
      <c r="C87" s="25"/>
      <c r="D87" s="25"/>
      <c r="E87" s="25" t="str">
        <f t="shared" si="1"/>
        <v/>
      </c>
    </row>
    <row r="88" spans="1:5" ht="15" customHeight="1">
      <c r="A88" s="25">
        <v>82</v>
      </c>
      <c r="B88" s="25"/>
      <c r="C88" s="25"/>
      <c r="D88" s="25"/>
      <c r="E88" s="25" t="str">
        <f t="shared" si="1"/>
        <v/>
      </c>
    </row>
    <row r="89" spans="1:5" ht="15" customHeight="1">
      <c r="A89" s="25">
        <v>83</v>
      </c>
      <c r="B89" s="25"/>
      <c r="C89" s="25"/>
      <c r="D89" s="25"/>
      <c r="E89" s="25" t="str">
        <f t="shared" si="1"/>
        <v/>
      </c>
    </row>
    <row r="90" spans="1:5" ht="15" customHeight="1">
      <c r="A90" s="25">
        <v>84</v>
      </c>
      <c r="B90" s="25"/>
      <c r="C90" s="25"/>
      <c r="D90" s="25"/>
      <c r="E90" s="25" t="str">
        <f t="shared" si="1"/>
        <v/>
      </c>
    </row>
    <row r="91" spans="1:5" ht="15" customHeight="1">
      <c r="A91" s="25">
        <v>85</v>
      </c>
      <c r="B91" s="25"/>
      <c r="C91" s="25"/>
      <c r="D91" s="25"/>
      <c r="E91" s="25" t="str">
        <f t="shared" si="1"/>
        <v/>
      </c>
    </row>
    <row r="92" spans="1:5" ht="15" customHeight="1">
      <c r="A92" s="25">
        <v>86</v>
      </c>
      <c r="B92" s="25"/>
      <c r="C92" s="25"/>
      <c r="D92" s="25"/>
      <c r="E92" s="25" t="str">
        <f t="shared" si="1"/>
        <v/>
      </c>
    </row>
    <row r="93" spans="1:5" ht="15" customHeight="1">
      <c r="A93" s="25">
        <v>87</v>
      </c>
      <c r="B93" s="25"/>
      <c r="C93" s="25"/>
      <c r="D93" s="25"/>
      <c r="E93" s="25" t="str">
        <f t="shared" si="1"/>
        <v/>
      </c>
    </row>
    <row r="94" spans="1:5" ht="15" customHeight="1">
      <c r="A94" s="25">
        <v>88</v>
      </c>
      <c r="B94" s="25"/>
      <c r="C94" s="25"/>
      <c r="D94" s="25"/>
      <c r="E94" s="25" t="str">
        <f t="shared" si="1"/>
        <v/>
      </c>
    </row>
    <row r="95" spans="1:5" ht="15" customHeight="1">
      <c r="A95" s="25">
        <v>89</v>
      </c>
      <c r="B95" s="25"/>
      <c r="C95" s="25"/>
      <c r="D95" s="25"/>
      <c r="E95" s="25" t="str">
        <f t="shared" si="1"/>
        <v/>
      </c>
    </row>
    <row r="96" spans="1:5" ht="15" customHeight="1">
      <c r="A96" s="25">
        <v>90</v>
      </c>
      <c r="B96" s="25"/>
      <c r="C96" s="25"/>
      <c r="D96" s="25"/>
      <c r="E96" s="25" t="str">
        <f t="shared" si="1"/>
        <v/>
      </c>
    </row>
    <row r="97" spans="1:5" ht="15" customHeight="1">
      <c r="A97" s="25">
        <v>91</v>
      </c>
      <c r="B97" s="25"/>
      <c r="C97" s="25"/>
      <c r="D97" s="25"/>
      <c r="E97" s="25" t="str">
        <f t="shared" si="1"/>
        <v/>
      </c>
    </row>
    <row r="98" spans="1:5" ht="15" customHeight="1">
      <c r="A98" s="25">
        <v>92</v>
      </c>
      <c r="B98" s="25"/>
      <c r="C98" s="25"/>
      <c r="D98" s="25"/>
      <c r="E98" s="25" t="str">
        <f t="shared" si="1"/>
        <v/>
      </c>
    </row>
    <row r="99" spans="1:5" ht="15" customHeight="1">
      <c r="A99" s="25">
        <v>93</v>
      </c>
      <c r="B99" s="25"/>
      <c r="C99" s="25"/>
      <c r="D99" s="25"/>
      <c r="E99" s="25" t="str">
        <f t="shared" si="1"/>
        <v/>
      </c>
    </row>
    <row r="100" spans="1:5" ht="15" customHeight="1">
      <c r="A100" s="25">
        <v>94</v>
      </c>
      <c r="B100" s="25"/>
      <c r="C100" s="25"/>
      <c r="D100" s="25"/>
      <c r="E100" s="25" t="str">
        <f t="shared" si="1"/>
        <v/>
      </c>
    </row>
    <row r="101" spans="1:5" ht="15" customHeight="1">
      <c r="A101" s="25">
        <v>95</v>
      </c>
      <c r="B101" s="25"/>
      <c r="C101" s="25"/>
      <c r="D101" s="25"/>
      <c r="E101" s="25" t="str">
        <f t="shared" si="1"/>
        <v/>
      </c>
    </row>
    <row r="102" spans="1:5" ht="15" customHeight="1">
      <c r="A102" s="25">
        <v>96</v>
      </c>
      <c r="B102" s="25"/>
      <c r="C102" s="25"/>
      <c r="D102" s="25"/>
      <c r="E102" s="25" t="str">
        <f t="shared" si="1"/>
        <v/>
      </c>
    </row>
    <row r="103" spans="1:5" ht="15" customHeight="1">
      <c r="A103" s="25">
        <v>97</v>
      </c>
      <c r="B103" s="25"/>
      <c r="C103" s="25"/>
      <c r="D103" s="25"/>
      <c r="E103" s="25" t="str">
        <f t="shared" si="1"/>
        <v/>
      </c>
    </row>
    <row r="104" spans="1:5" ht="15" customHeight="1">
      <c r="A104" s="25">
        <v>98</v>
      </c>
      <c r="B104" s="25"/>
      <c r="C104" s="25"/>
      <c r="D104" s="25"/>
      <c r="E104" s="25" t="str">
        <f t="shared" si="1"/>
        <v/>
      </c>
    </row>
    <row r="105" spans="1:5" ht="15" customHeight="1">
      <c r="A105" s="25">
        <v>99</v>
      </c>
      <c r="B105" s="25"/>
      <c r="C105" s="25"/>
      <c r="D105" s="25"/>
      <c r="E105" s="25" t="str">
        <f t="shared" si="1"/>
        <v/>
      </c>
    </row>
    <row r="106" spans="1:5" ht="15" customHeight="1">
      <c r="A106" s="25">
        <v>100</v>
      </c>
      <c r="B106" s="25"/>
      <c r="C106" s="25"/>
      <c r="D106" s="25"/>
      <c r="E106" s="25" t="str">
        <f t="shared" si="1"/>
        <v/>
      </c>
    </row>
    <row r="107" spans="1:5" ht="15" customHeight="1">
      <c r="A107" s="25">
        <v>101</v>
      </c>
      <c r="B107" s="25"/>
      <c r="C107" s="25"/>
      <c r="D107" s="25"/>
      <c r="E107" s="25" t="str">
        <f t="shared" si="1"/>
        <v/>
      </c>
    </row>
    <row r="108" spans="1:5" ht="15" customHeight="1">
      <c r="A108" s="25">
        <v>102</v>
      </c>
      <c r="B108" s="25"/>
      <c r="C108" s="25"/>
      <c r="D108" s="25"/>
      <c r="E108" s="25" t="str">
        <f t="shared" si="1"/>
        <v/>
      </c>
    </row>
    <row r="109" spans="1:5" ht="15" customHeight="1">
      <c r="A109" s="25">
        <v>103</v>
      </c>
      <c r="B109" s="25"/>
      <c r="C109" s="25"/>
      <c r="D109" s="25"/>
      <c r="E109" s="25" t="str">
        <f t="shared" si="1"/>
        <v/>
      </c>
    </row>
    <row r="110" spans="1:5" ht="15" customHeight="1">
      <c r="A110" s="25">
        <v>104</v>
      </c>
      <c r="B110" s="25"/>
      <c r="C110" s="25"/>
      <c r="D110" s="25"/>
      <c r="E110" s="25" t="str">
        <f t="shared" si="1"/>
        <v/>
      </c>
    </row>
    <row r="111" spans="1:5" ht="15" customHeight="1">
      <c r="A111" s="25">
        <v>105</v>
      </c>
      <c r="B111" s="25"/>
      <c r="C111" s="25"/>
      <c r="D111" s="25"/>
      <c r="E111" s="25" t="str">
        <f t="shared" si="1"/>
        <v/>
      </c>
    </row>
    <row r="112" spans="1:5" ht="15" customHeight="1">
      <c r="A112" s="25">
        <v>106</v>
      </c>
      <c r="B112" s="25"/>
      <c r="C112" s="25"/>
      <c r="D112" s="25"/>
      <c r="E112" s="25" t="str">
        <f t="shared" si="1"/>
        <v/>
      </c>
    </row>
    <row r="113" spans="1:5" ht="15" customHeight="1">
      <c r="A113" s="25">
        <v>107</v>
      </c>
      <c r="B113" s="25"/>
      <c r="C113" s="25"/>
      <c r="D113" s="25"/>
      <c r="E113" s="25" t="str">
        <f t="shared" si="1"/>
        <v/>
      </c>
    </row>
    <row r="114" spans="1:5" ht="15" customHeight="1">
      <c r="A114" s="25">
        <v>108</v>
      </c>
      <c r="B114" s="25"/>
      <c r="C114" s="25"/>
      <c r="D114" s="25"/>
      <c r="E114" s="25" t="str">
        <f t="shared" si="1"/>
        <v/>
      </c>
    </row>
    <row r="115" spans="1:5" ht="15" customHeight="1">
      <c r="A115" s="25">
        <v>109</v>
      </c>
      <c r="B115" s="25"/>
      <c r="C115" s="25"/>
      <c r="D115" s="25"/>
      <c r="E115" s="25" t="str">
        <f t="shared" si="1"/>
        <v/>
      </c>
    </row>
    <row r="116" spans="1:5" ht="15" customHeight="1">
      <c r="A116" s="25">
        <v>110</v>
      </c>
      <c r="B116" s="25"/>
      <c r="C116" s="25"/>
      <c r="D116" s="25"/>
      <c r="E116" s="25" t="str">
        <f t="shared" si="1"/>
        <v/>
      </c>
    </row>
    <row r="117" spans="1:5" ht="15" customHeight="1">
      <c r="A117" s="25">
        <v>111</v>
      </c>
      <c r="B117" s="25"/>
      <c r="C117" s="25"/>
      <c r="D117" s="25"/>
      <c r="E117" s="25" t="str">
        <f t="shared" si="1"/>
        <v/>
      </c>
    </row>
    <row r="118" spans="1:5" ht="15" customHeight="1">
      <c r="A118" s="25">
        <v>112</v>
      </c>
      <c r="B118" s="25"/>
      <c r="C118" s="25"/>
      <c r="D118" s="25"/>
      <c r="E118" s="25" t="str">
        <f t="shared" si="1"/>
        <v/>
      </c>
    </row>
    <row r="119" spans="1:5" ht="15" customHeight="1">
      <c r="A119" s="25">
        <v>113</v>
      </c>
      <c r="B119" s="25"/>
      <c r="C119" s="25"/>
      <c r="D119" s="25"/>
      <c r="E119" s="25" t="str">
        <f t="shared" si="1"/>
        <v/>
      </c>
    </row>
    <row r="120" spans="1:5" ht="15" customHeight="1">
      <c r="A120" s="25">
        <v>114</v>
      </c>
      <c r="B120" s="25"/>
      <c r="C120" s="25"/>
      <c r="D120" s="25"/>
      <c r="E120" s="25" t="str">
        <f t="shared" si="1"/>
        <v/>
      </c>
    </row>
    <row r="121" spans="1:5" ht="15" customHeight="1">
      <c r="A121" s="25">
        <v>115</v>
      </c>
      <c r="B121" s="25"/>
      <c r="C121" s="25"/>
      <c r="D121" s="25"/>
      <c r="E121" s="25" t="str">
        <f t="shared" si="1"/>
        <v/>
      </c>
    </row>
    <row r="122" spans="1:5" ht="15" customHeight="1">
      <c r="A122" s="25">
        <v>116</v>
      </c>
      <c r="B122" s="25"/>
      <c r="C122" s="25"/>
      <c r="D122" s="25"/>
      <c r="E122" s="25" t="str">
        <f t="shared" si="1"/>
        <v/>
      </c>
    </row>
    <row r="123" spans="1:5" ht="15" customHeight="1">
      <c r="A123" s="25">
        <v>117</v>
      </c>
      <c r="B123" s="25"/>
      <c r="C123" s="25"/>
      <c r="D123" s="25"/>
      <c r="E123" s="25" t="str">
        <f t="shared" si="1"/>
        <v/>
      </c>
    </row>
    <row r="124" spans="1:5">
      <c r="E124" s="50" t="str">
        <f t="shared" ref="E124:E135" si="2">IF(D124="","",IF(AND(D124&gt;0,D124&lt;=IF(B122="Hilly / arid / semi-arid",200,50)),"Local","Non-Local"))</f>
        <v/>
      </c>
    </row>
    <row r="125" spans="1:5">
      <c r="E125" s="50" t="str">
        <f t="shared" si="2"/>
        <v/>
      </c>
    </row>
    <row r="126" spans="1:5">
      <c r="E126" s="50" t="str">
        <f t="shared" si="2"/>
        <v/>
      </c>
    </row>
    <row r="127" spans="1:5">
      <c r="E127" s="50" t="str">
        <f t="shared" si="2"/>
        <v/>
      </c>
    </row>
    <row r="128" spans="1:5">
      <c r="E128" s="50" t="str">
        <f t="shared" si="2"/>
        <v/>
      </c>
    </row>
    <row r="129" spans="5:5">
      <c r="E129" s="50" t="str">
        <f t="shared" si="2"/>
        <v/>
      </c>
    </row>
    <row r="130" spans="5:5">
      <c r="E130" s="50" t="str">
        <f t="shared" si="2"/>
        <v/>
      </c>
    </row>
    <row r="131" spans="5:5">
      <c r="E131" s="50" t="str">
        <f t="shared" si="2"/>
        <v/>
      </c>
    </row>
    <row r="132" spans="5:5">
      <c r="E132" s="50" t="str">
        <f t="shared" si="2"/>
        <v/>
      </c>
    </row>
    <row r="133" spans="5:5">
      <c r="E133" s="50" t="str">
        <f t="shared" si="2"/>
        <v/>
      </c>
    </row>
    <row r="134" spans="5:5">
      <c r="E134" s="50" t="str">
        <f t="shared" si="2"/>
        <v/>
      </c>
    </row>
    <row r="135" spans="5:5">
      <c r="E135" s="50" t="str">
        <f t="shared" si="2"/>
        <v/>
      </c>
    </row>
    <row r="136" spans="5:5">
      <c r="E136" s="50" t="str">
        <f t="shared" ref="E136:E138" si="3">IF(D136="","",IF(AND(D136&gt;0,D136&lt;=IF(B134="Hilly / arid / semi-arid",200,50)),"Local","Non-Local"))</f>
        <v/>
      </c>
    </row>
    <row r="137" spans="5:5">
      <c r="E137" s="50" t="str">
        <f t="shared" si="3"/>
        <v/>
      </c>
    </row>
    <row r="138" spans="5:5">
      <c r="E138" s="50" t="str">
        <f t="shared" si="3"/>
        <v/>
      </c>
    </row>
  </sheetData>
  <mergeCells count="7">
    <mergeCell ref="G8:H8"/>
    <mergeCell ref="G9:H9"/>
    <mergeCell ref="A1:E1"/>
    <mergeCell ref="A2:E2"/>
    <mergeCell ref="B3:E3"/>
    <mergeCell ref="B4:E4"/>
    <mergeCell ref="B5:E5"/>
  </mergeCells>
  <conditionalFormatting sqref="E7:E123">
    <cfRule type="expression" dxfId="60" priority="2">
      <formula>$E7="Non-Local"</formula>
    </cfRule>
    <cfRule type="expression" dxfId="59" priority="3">
      <formula>$E7="Local"</formula>
    </cfRule>
  </conditionalFormatting>
  <conditionalFormatting sqref="C6">
    <cfRule type="expression" priority="1">
      <formula>$B$5="Cost of the Item (Rs)"</formula>
    </cfRule>
  </conditionalFormatting>
  <dataValidations count="2">
    <dataValidation type="list" allowBlank="1" showInputMessage="1" showErrorMessage="1" sqref="B4:C4" xr:uid="{29277594-BD83-4AA8-BF01-A159B9F48075}">
      <formula1>"Hilly, Arid, Semi-arid, Others"</formula1>
    </dataValidation>
    <dataValidation type="list" allowBlank="1" showInputMessage="1" showErrorMessage="1" sqref="B5" xr:uid="{CD20F175-524A-4C0C-9765-49D69F827143}">
      <formula1>"By Cost, By Weight"</formula1>
    </dataValidation>
  </dataValidation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E73"/>
  <sheetViews>
    <sheetView zoomScale="90" zoomScaleNormal="90" workbookViewId="0">
      <selection activeCell="I13" sqref="I13"/>
    </sheetView>
  </sheetViews>
  <sheetFormatPr defaultRowHeight="13.8"/>
  <cols>
    <col min="1" max="1" width="6" style="93" customWidth="1"/>
    <col min="2" max="2" width="41.3984375" style="93" customWidth="1"/>
    <col min="3" max="4" width="26" style="93" customWidth="1"/>
    <col min="5" max="5" width="18" style="93" customWidth="1"/>
    <col min="6" max="16384" width="8.796875" style="93"/>
  </cols>
  <sheetData>
    <row r="1" spans="1:5" ht="17.399999999999999">
      <c r="A1" s="91" t="s">
        <v>134</v>
      </c>
      <c r="B1" s="92" t="s">
        <v>163</v>
      </c>
      <c r="C1" s="9">
        <f>IF(OR(E8="☑",E17&gt;0),1,0)+IF(OR(E19="☑",E41&gt;0),1,0)+IF(E49&gt;0,1,0)</f>
        <v>0</v>
      </c>
      <c r="D1" s="92" t="s">
        <v>317</v>
      </c>
      <c r="E1" s="92">
        <f>IF('Project Info'!$C$8="New Hotel",2,2)</f>
        <v>2</v>
      </c>
    </row>
    <row r="2" spans="1:5" ht="21">
      <c r="A2" s="94"/>
      <c r="B2" s="95" t="s">
        <v>87</v>
      </c>
      <c r="C2" s="95"/>
      <c r="D2" s="95"/>
      <c r="E2" s="95" t="s">
        <v>86</v>
      </c>
    </row>
    <row r="3" spans="1:5" ht="15.6">
      <c r="A3" s="94"/>
      <c r="B3" s="96" t="s">
        <v>5</v>
      </c>
      <c r="C3" s="97"/>
      <c r="D3" s="97"/>
      <c r="E3" s="97" t="str">
        <f>HYPERLINK("#'Checklist'!A1","Go To Checklist")</f>
        <v>Go To Checklist</v>
      </c>
    </row>
    <row r="4" spans="1:5" ht="42.45" customHeight="1">
      <c r="A4" s="94"/>
      <c r="B4" s="533" t="s">
        <v>710</v>
      </c>
      <c r="C4" s="534"/>
      <c r="D4" s="534"/>
      <c r="E4" s="535"/>
    </row>
    <row r="5" spans="1:5" ht="15.45" customHeight="1">
      <c r="A5" s="94"/>
      <c r="B5" s="115" t="s">
        <v>918</v>
      </c>
      <c r="C5" s="116"/>
      <c r="D5" s="116"/>
      <c r="E5" s="116"/>
    </row>
    <row r="6" spans="1:5" ht="15.6">
      <c r="A6" s="94"/>
      <c r="B6" s="307" t="s">
        <v>844</v>
      </c>
      <c r="C6" s="307"/>
      <c r="D6" s="307"/>
      <c r="E6" s="307"/>
    </row>
    <row r="7" spans="1:5" ht="15.6">
      <c r="A7" s="94"/>
      <c r="B7" s="228" t="s">
        <v>360</v>
      </c>
      <c r="C7" s="797" t="s">
        <v>827</v>
      </c>
      <c r="D7" s="797"/>
      <c r="E7" s="229" t="s">
        <v>137</v>
      </c>
    </row>
    <row r="8" spans="1:5" ht="21.45" customHeight="1">
      <c r="A8" s="94"/>
      <c r="B8" s="92" t="s">
        <v>361</v>
      </c>
      <c r="C8" s="560" t="s">
        <v>845</v>
      </c>
      <c r="D8" s="560"/>
      <c r="E8" s="310" t="s">
        <v>139</v>
      </c>
    </row>
    <row r="9" spans="1:5">
      <c r="A9" s="94"/>
      <c r="B9" s="616" t="s">
        <v>917</v>
      </c>
      <c r="C9" s="616"/>
      <c r="D9" s="616"/>
      <c r="E9" s="616"/>
    </row>
    <row r="10" spans="1:5" ht="15.6">
      <c r="A10" s="94"/>
      <c r="B10" s="307" t="s">
        <v>846</v>
      </c>
      <c r="C10" s="307"/>
      <c r="D10" s="307"/>
      <c r="E10" s="307"/>
    </row>
    <row r="11" spans="1:5" ht="16.5" customHeight="1">
      <c r="A11" s="94"/>
      <c r="B11" s="474" t="s">
        <v>362</v>
      </c>
      <c r="C11" s="904"/>
      <c r="D11" s="904"/>
      <c r="E11" s="518"/>
    </row>
    <row r="12" spans="1:5" ht="16.5" customHeight="1">
      <c r="A12" s="94"/>
      <c r="B12" s="109" t="s">
        <v>940</v>
      </c>
      <c r="C12" s="109" t="s">
        <v>622</v>
      </c>
      <c r="D12" s="109"/>
      <c r="E12" s="110" t="s">
        <v>829</v>
      </c>
    </row>
    <row r="13" spans="1:5" ht="16.5" customHeight="1">
      <c r="A13" s="94"/>
      <c r="B13" s="158" t="s">
        <v>1063</v>
      </c>
      <c r="C13" s="111" t="s">
        <v>1064</v>
      </c>
      <c r="D13" s="111"/>
      <c r="E13" s="112"/>
    </row>
    <row r="14" spans="1:5" ht="17.399999999999999" customHeight="1">
      <c r="A14" s="94"/>
      <c r="B14" s="158" t="s">
        <v>1065</v>
      </c>
      <c r="C14" s="111" t="s">
        <v>1064</v>
      </c>
      <c r="D14" s="158"/>
      <c r="E14" s="112"/>
    </row>
    <row r="15" spans="1:5" ht="17.399999999999999" customHeight="1">
      <c r="A15" s="94"/>
      <c r="B15" s="158" t="s">
        <v>1065</v>
      </c>
      <c r="C15" s="111" t="s">
        <v>170</v>
      </c>
      <c r="D15" s="158"/>
      <c r="E15" s="56">
        <f>IFERROR(E14/E13,0)</f>
        <v>0</v>
      </c>
    </row>
    <row r="16" spans="1:5" ht="17.399999999999999" customHeight="1">
      <c r="A16" s="94"/>
      <c r="B16" s="583" t="s">
        <v>1559</v>
      </c>
      <c r="C16" s="583"/>
      <c r="D16" s="583"/>
      <c r="E16" s="583"/>
    </row>
    <row r="17" spans="1:5" ht="28.2" customHeight="1">
      <c r="A17" s="94"/>
      <c r="B17" s="145" t="s">
        <v>329</v>
      </c>
      <c r="C17" s="124" t="s">
        <v>1560</v>
      </c>
      <c r="D17" s="419" t="s">
        <v>6</v>
      </c>
      <c r="E17" s="15">
        <f>IF(E15&gt;=5%,1,0)</f>
        <v>0</v>
      </c>
    </row>
    <row r="18" spans="1:5" ht="17.399999999999999" customHeight="1">
      <c r="A18" s="94"/>
      <c r="B18" s="902" t="s">
        <v>816</v>
      </c>
      <c r="C18" s="902"/>
      <c r="D18" s="902"/>
      <c r="E18" s="902"/>
    </row>
    <row r="19" spans="1:5" ht="30" customHeight="1">
      <c r="A19" s="94"/>
      <c r="B19" s="903" t="s">
        <v>1561</v>
      </c>
      <c r="C19" s="903"/>
      <c r="D19" s="903"/>
      <c r="E19" s="518" t="s">
        <v>139</v>
      </c>
    </row>
    <row r="20" spans="1:5" ht="17.55" customHeight="1">
      <c r="A20" s="94"/>
      <c r="B20" s="902" t="s">
        <v>816</v>
      </c>
      <c r="C20" s="902"/>
      <c r="D20" s="902"/>
      <c r="E20" s="902"/>
    </row>
    <row r="21" spans="1:5" ht="17.55" customHeight="1">
      <c r="A21" s="94"/>
      <c r="B21" s="474" t="s">
        <v>363</v>
      </c>
      <c r="C21" s="904"/>
      <c r="D21" s="904"/>
      <c r="E21" s="518"/>
    </row>
    <row r="22" spans="1:5" ht="17.55" customHeight="1">
      <c r="A22" s="94"/>
      <c r="B22" s="519" t="s">
        <v>1562</v>
      </c>
      <c r="C22" s="416"/>
      <c r="D22" s="416"/>
      <c r="E22" s="440"/>
    </row>
    <row r="23" spans="1:5" ht="24.6" customHeight="1">
      <c r="A23" s="94"/>
      <c r="B23" s="520" t="s">
        <v>1563</v>
      </c>
      <c r="C23" s="520" t="s">
        <v>1564</v>
      </c>
      <c r="D23" s="520" t="s">
        <v>1565</v>
      </c>
      <c r="E23" s="520" t="s">
        <v>1566</v>
      </c>
    </row>
    <row r="24" spans="1:5" ht="17.55" customHeight="1">
      <c r="A24" s="94"/>
      <c r="B24" s="521" t="s">
        <v>1567</v>
      </c>
      <c r="C24" s="521"/>
      <c r="D24" s="521"/>
      <c r="E24" s="522">
        <f>C24*D24</f>
        <v>0</v>
      </c>
    </row>
    <row r="25" spans="1:5" ht="17.55" customHeight="1">
      <c r="A25" s="94"/>
      <c r="B25" s="521"/>
      <c r="C25" s="521"/>
      <c r="D25" s="521"/>
      <c r="E25" s="522">
        <f t="shared" ref="E25:E35" si="0">C25*D25</f>
        <v>0</v>
      </c>
    </row>
    <row r="26" spans="1:5" ht="17.55" customHeight="1">
      <c r="A26" s="94"/>
      <c r="B26" s="521"/>
      <c r="C26" s="521"/>
      <c r="D26" s="521"/>
      <c r="E26" s="522">
        <f t="shared" si="0"/>
        <v>0</v>
      </c>
    </row>
    <row r="27" spans="1:5" ht="15">
      <c r="A27" s="94"/>
      <c r="B27" s="521"/>
      <c r="C27" s="521"/>
      <c r="D27" s="521"/>
      <c r="E27" s="522">
        <f t="shared" si="0"/>
        <v>0</v>
      </c>
    </row>
    <row r="28" spans="1:5" ht="18" customHeight="1">
      <c r="A28" s="94"/>
      <c r="B28" s="521"/>
      <c r="C28" s="521"/>
      <c r="D28" s="521"/>
      <c r="E28" s="522">
        <f t="shared" si="0"/>
        <v>0</v>
      </c>
    </row>
    <row r="29" spans="1:5" ht="15">
      <c r="A29" s="94"/>
      <c r="B29" s="521"/>
      <c r="C29" s="521"/>
      <c r="D29" s="521"/>
      <c r="E29" s="522">
        <f t="shared" si="0"/>
        <v>0</v>
      </c>
    </row>
    <row r="30" spans="1:5" ht="18" customHeight="1">
      <c r="A30" s="94"/>
      <c r="B30" s="521"/>
      <c r="C30" s="521"/>
      <c r="D30" s="521"/>
      <c r="E30" s="522">
        <f t="shared" si="0"/>
        <v>0</v>
      </c>
    </row>
    <row r="31" spans="1:5" ht="18" customHeight="1">
      <c r="A31" s="94"/>
      <c r="B31" s="521"/>
      <c r="C31" s="521"/>
      <c r="D31" s="521"/>
      <c r="E31" s="522">
        <f t="shared" si="0"/>
        <v>0</v>
      </c>
    </row>
    <row r="32" spans="1:5" ht="18" customHeight="1">
      <c r="A32" s="94"/>
      <c r="B32" s="521"/>
      <c r="C32" s="521"/>
      <c r="D32" s="521"/>
      <c r="E32" s="522">
        <f t="shared" si="0"/>
        <v>0</v>
      </c>
    </row>
    <row r="33" spans="1:5" ht="18" customHeight="1">
      <c r="A33" s="94"/>
      <c r="B33" s="521"/>
      <c r="C33" s="521"/>
      <c r="D33" s="521"/>
      <c r="E33" s="522">
        <f t="shared" si="0"/>
        <v>0</v>
      </c>
    </row>
    <row r="34" spans="1:5" ht="18" customHeight="1">
      <c r="A34" s="94"/>
      <c r="B34" s="521"/>
      <c r="C34" s="521"/>
      <c r="D34" s="521"/>
      <c r="E34" s="522">
        <f t="shared" si="0"/>
        <v>0</v>
      </c>
    </row>
    <row r="35" spans="1:5" ht="18" customHeight="1">
      <c r="A35" s="94"/>
      <c r="B35" s="521"/>
      <c r="C35" s="521"/>
      <c r="D35" s="521"/>
      <c r="E35" s="522">
        <f t="shared" si="0"/>
        <v>0</v>
      </c>
    </row>
    <row r="36" spans="1:5" ht="18" customHeight="1">
      <c r="A36" s="94"/>
      <c r="B36" s="109" t="s">
        <v>940</v>
      </c>
      <c r="C36" s="1008" t="s">
        <v>622</v>
      </c>
      <c r="D36" s="1008"/>
      <c r="E36" s="110" t="s">
        <v>829</v>
      </c>
    </row>
    <row r="37" spans="1:5" ht="18" customHeight="1">
      <c r="A37" s="94"/>
      <c r="B37" s="365" t="s">
        <v>1568</v>
      </c>
      <c r="C37" s="830" t="s">
        <v>1064</v>
      </c>
      <c r="D37" s="830"/>
      <c r="E37" s="434">
        <f>'CN CR 3'!E9</f>
        <v>0</v>
      </c>
    </row>
    <row r="38" spans="1:5" ht="17.399999999999999" customHeight="1">
      <c r="A38" s="94"/>
      <c r="B38" s="365" t="s">
        <v>1569</v>
      </c>
      <c r="C38" s="830" t="s">
        <v>1064</v>
      </c>
      <c r="D38" s="830"/>
      <c r="E38" s="424">
        <f>SUM(C24:C35)</f>
        <v>0</v>
      </c>
    </row>
    <row r="39" spans="1:5" ht="18" customHeight="1">
      <c r="A39" s="94"/>
      <c r="B39" s="365" t="s">
        <v>1570</v>
      </c>
      <c r="C39" s="830" t="s">
        <v>1064</v>
      </c>
      <c r="D39" s="830"/>
      <c r="E39" s="424">
        <f>SUM(E24:E35)</f>
        <v>0</v>
      </c>
    </row>
    <row r="40" spans="1:5" ht="17.399999999999999" customHeight="1">
      <c r="A40" s="94"/>
      <c r="B40" s="365" t="s">
        <v>1571</v>
      </c>
      <c r="C40" s="830" t="s">
        <v>170</v>
      </c>
      <c r="D40" s="830"/>
      <c r="E40" s="1009">
        <f>IFERROR(E39/E37,0)</f>
        <v>0</v>
      </c>
    </row>
    <row r="41" spans="1:5" ht="27.6">
      <c r="A41" s="94"/>
      <c r="B41" s="145" t="s">
        <v>329</v>
      </c>
      <c r="C41" s="124" t="s">
        <v>1572</v>
      </c>
      <c r="D41" s="419" t="s">
        <v>6</v>
      </c>
      <c r="E41" s="15">
        <f>IF(E40&gt;=20%,1,0)</f>
        <v>0</v>
      </c>
    </row>
    <row r="42" spans="1:5" ht="18" customHeight="1">
      <c r="A42" s="94"/>
      <c r="B42" s="616" t="s">
        <v>917</v>
      </c>
      <c r="C42" s="616"/>
      <c r="D42" s="616"/>
      <c r="E42" s="616"/>
    </row>
    <row r="43" spans="1:5" ht="15.6">
      <c r="A43" s="94"/>
      <c r="B43" s="866" t="s">
        <v>847</v>
      </c>
      <c r="C43" s="866"/>
      <c r="D43" s="307"/>
      <c r="E43" s="307"/>
    </row>
    <row r="44" spans="1:5" ht="17.399999999999999" customHeight="1">
      <c r="A44" s="94"/>
      <c r="B44" s="491" t="s">
        <v>848</v>
      </c>
      <c r="C44" s="904"/>
      <c r="D44" s="904"/>
      <c r="E44" s="145"/>
    </row>
    <row r="45" spans="1:5" ht="19.05" customHeight="1">
      <c r="A45" s="94"/>
      <c r="B45" s="109" t="s">
        <v>940</v>
      </c>
      <c r="C45" s="741" t="s">
        <v>622</v>
      </c>
      <c r="D45" s="741"/>
      <c r="E45" s="110" t="s">
        <v>829</v>
      </c>
    </row>
    <row r="46" spans="1:5" ht="19.05" customHeight="1">
      <c r="A46" s="94"/>
      <c r="B46" s="365" t="s">
        <v>1573</v>
      </c>
      <c r="C46" s="830" t="s">
        <v>1064</v>
      </c>
      <c r="D46" s="830"/>
      <c r="E46" s="412"/>
    </row>
    <row r="47" spans="1:5" ht="17.399999999999999" customHeight="1">
      <c r="A47" s="94"/>
      <c r="B47" s="365" t="s">
        <v>1574</v>
      </c>
      <c r="C47" s="830" t="s">
        <v>1064</v>
      </c>
      <c r="D47" s="830"/>
      <c r="E47" s="412"/>
    </row>
    <row r="48" spans="1:5" ht="17.399999999999999" customHeight="1">
      <c r="A48" s="94"/>
      <c r="B48" s="365" t="s">
        <v>1575</v>
      </c>
      <c r="C48" s="830" t="s">
        <v>170</v>
      </c>
      <c r="D48" s="830"/>
      <c r="E48" s="1010">
        <f>IFERROR(E47/E46,0)</f>
        <v>0</v>
      </c>
    </row>
    <row r="49" spans="1:5" ht="32.4" customHeight="1">
      <c r="B49" s="145" t="s">
        <v>329</v>
      </c>
      <c r="C49" s="124" t="s">
        <v>1576</v>
      </c>
      <c r="D49" s="419" t="s">
        <v>6</v>
      </c>
      <c r="E49" s="15">
        <f>IF(E48&gt;=5%,1,0)</f>
        <v>0</v>
      </c>
    </row>
    <row r="50" spans="1:5" ht="17.399999999999999" customHeight="1">
      <c r="B50" s="539" t="s">
        <v>87</v>
      </c>
      <c r="C50" s="539"/>
      <c r="D50" s="275" t="s">
        <v>189</v>
      </c>
      <c r="E50" s="8">
        <f>C1</f>
        <v>0</v>
      </c>
    </row>
    <row r="51" spans="1:5" ht="17.399999999999999" customHeight="1">
      <c r="B51" s="97"/>
      <c r="C51" s="97"/>
      <c r="D51" s="97"/>
      <c r="E51" s="97"/>
    </row>
    <row r="52" spans="1:5" ht="17.399999999999999" customHeight="1">
      <c r="B52" s="537" t="s">
        <v>146</v>
      </c>
      <c r="C52" s="537"/>
      <c r="D52" s="537"/>
      <c r="E52" s="537"/>
    </row>
    <row r="53" spans="1:5" ht="17.399999999999999" customHeight="1">
      <c r="B53" s="748" t="s">
        <v>844</v>
      </c>
      <c r="C53" s="748"/>
      <c r="D53" s="748"/>
      <c r="E53" s="101"/>
    </row>
    <row r="54" spans="1:5" ht="17.399999999999999" customHeight="1">
      <c r="A54" s="209"/>
      <c r="B54" s="538" t="s">
        <v>849</v>
      </c>
      <c r="C54" s="538"/>
      <c r="D54" s="538"/>
      <c r="E54" s="101" t="s">
        <v>139</v>
      </c>
    </row>
    <row r="55" spans="1:5" ht="17.399999999999999">
      <c r="A55" s="209"/>
      <c r="B55" s="538" t="s">
        <v>850</v>
      </c>
      <c r="C55" s="538"/>
      <c r="D55" s="538"/>
      <c r="E55" s="101" t="s">
        <v>139</v>
      </c>
    </row>
    <row r="56" spans="1:5" ht="17.399999999999999">
      <c r="A56" s="209"/>
      <c r="B56" s="748" t="s">
        <v>846</v>
      </c>
      <c r="C56" s="748"/>
      <c r="D56" s="748"/>
      <c r="E56" s="101"/>
    </row>
    <row r="57" spans="1:5" ht="17.399999999999999">
      <c r="A57" s="209"/>
      <c r="B57" s="538" t="s">
        <v>851</v>
      </c>
      <c r="C57" s="538"/>
      <c r="D57" s="538"/>
      <c r="E57" s="101" t="s">
        <v>139</v>
      </c>
    </row>
    <row r="58" spans="1:5" ht="17.399999999999999">
      <c r="A58" s="209"/>
      <c r="B58" s="538" t="s">
        <v>852</v>
      </c>
      <c r="C58" s="538"/>
      <c r="D58" s="538"/>
      <c r="E58" s="101" t="s">
        <v>139</v>
      </c>
    </row>
    <row r="59" spans="1:5" ht="17.399999999999999">
      <c r="A59" s="209"/>
      <c r="B59" s="560" t="s">
        <v>857</v>
      </c>
      <c r="C59" s="560"/>
      <c r="D59" s="560"/>
      <c r="E59" s="101"/>
    </row>
    <row r="60" spans="1:5" ht="17.399999999999999">
      <c r="A60" s="209"/>
      <c r="B60" s="538" t="s">
        <v>853</v>
      </c>
      <c r="C60" s="538"/>
      <c r="D60" s="538"/>
      <c r="E60" s="101" t="s">
        <v>139</v>
      </c>
    </row>
    <row r="61" spans="1:5" ht="17.399999999999999">
      <c r="A61" s="209"/>
      <c r="B61" s="538" t="s">
        <v>854</v>
      </c>
      <c r="C61" s="538"/>
      <c r="D61" s="538"/>
      <c r="E61" s="101" t="s">
        <v>139</v>
      </c>
    </row>
    <row r="62" spans="1:5" ht="17.399999999999999">
      <c r="A62" s="209"/>
      <c r="B62" s="748" t="s">
        <v>855</v>
      </c>
      <c r="C62" s="748"/>
      <c r="D62" s="748"/>
      <c r="E62" s="101"/>
    </row>
    <row r="63" spans="1:5" ht="17.399999999999999">
      <c r="A63" s="209"/>
      <c r="B63" s="538" t="s">
        <v>856</v>
      </c>
      <c r="C63" s="538"/>
      <c r="D63" s="538"/>
      <c r="E63" s="101" t="s">
        <v>139</v>
      </c>
    </row>
    <row r="64" spans="1:5" ht="17.399999999999999">
      <c r="A64" s="209"/>
      <c r="B64" s="538" t="s">
        <v>858</v>
      </c>
      <c r="C64" s="538"/>
      <c r="D64" s="538"/>
      <c r="E64" s="101" t="s">
        <v>139</v>
      </c>
    </row>
    <row r="65" spans="1:5" ht="17.399999999999999">
      <c r="A65" s="209"/>
      <c r="B65" s="560" t="s">
        <v>859</v>
      </c>
      <c r="C65" s="560"/>
      <c r="D65" s="560"/>
      <c r="E65" s="101" t="s">
        <v>139</v>
      </c>
    </row>
    <row r="66" spans="1:5" ht="17.399999999999999">
      <c r="A66" s="209"/>
      <c r="B66" s="560" t="s">
        <v>860</v>
      </c>
      <c r="C66" s="560"/>
      <c r="D66" s="560"/>
      <c r="E66" s="101" t="s">
        <v>139</v>
      </c>
    </row>
    <row r="67" spans="1:5" ht="17.399999999999999">
      <c r="A67" s="209"/>
      <c r="B67" s="560" t="s">
        <v>861</v>
      </c>
      <c r="C67" s="560"/>
      <c r="D67" s="560"/>
      <c r="E67" s="101" t="s">
        <v>139</v>
      </c>
    </row>
    <row r="68" spans="1:5" ht="14.4">
      <c r="A68" s="209"/>
      <c r="B68" s="531" t="s">
        <v>147</v>
      </c>
      <c r="C68" s="531"/>
      <c r="D68" s="531"/>
      <c r="E68" s="531"/>
    </row>
    <row r="69" spans="1:5" ht="14.4">
      <c r="A69" s="209"/>
      <c r="B69" s="97"/>
      <c r="C69" s="97"/>
      <c r="D69" s="97"/>
      <c r="E69" s="97"/>
    </row>
    <row r="70" spans="1:5" ht="14.4">
      <c r="A70" s="209"/>
      <c r="B70" s="97"/>
      <c r="C70" s="97"/>
      <c r="D70" s="97"/>
      <c r="E70" s="97"/>
    </row>
    <row r="71" spans="1:5" ht="14.4">
      <c r="A71" s="209"/>
      <c r="B71" s="97"/>
      <c r="C71" s="97"/>
      <c r="D71" s="97"/>
      <c r="E71" s="97"/>
    </row>
    <row r="72" spans="1:5">
      <c r="B72" s="97"/>
      <c r="C72" s="97"/>
      <c r="D72" s="97"/>
      <c r="E72" s="97"/>
    </row>
    <row r="73" spans="1:5">
      <c r="B73" s="97"/>
      <c r="C73" s="97"/>
      <c r="D73" s="97"/>
      <c r="E73" s="97"/>
    </row>
  </sheetData>
  <sheetProtection sheet="1" objects="1" scenarios="1"/>
  <mergeCells count="40">
    <mergeCell ref="C46:D46"/>
    <mergeCell ref="C47:D47"/>
    <mergeCell ref="C48:D48"/>
    <mergeCell ref="C37:D37"/>
    <mergeCell ref="C38:D38"/>
    <mergeCell ref="C39:D39"/>
    <mergeCell ref="C40:D40"/>
    <mergeCell ref="C45:D45"/>
    <mergeCell ref="B4:E4"/>
    <mergeCell ref="B60:D60"/>
    <mergeCell ref="B59:D59"/>
    <mergeCell ref="B54:D54"/>
    <mergeCell ref="B55:D55"/>
    <mergeCell ref="B56:D56"/>
    <mergeCell ref="B57:D57"/>
    <mergeCell ref="B58:D58"/>
    <mergeCell ref="C7:D7"/>
    <mergeCell ref="C8:D8"/>
    <mergeCell ref="C11:D11"/>
    <mergeCell ref="C21:D21"/>
    <mergeCell ref="C44:D44"/>
    <mergeCell ref="B43:C43"/>
    <mergeCell ref="B9:E9"/>
    <mergeCell ref="B16:E16"/>
    <mergeCell ref="B18:E18"/>
    <mergeCell ref="B20:E20"/>
    <mergeCell ref="B19:D19"/>
    <mergeCell ref="B68:E68"/>
    <mergeCell ref="B61:D61"/>
    <mergeCell ref="B62:D62"/>
    <mergeCell ref="B63:D63"/>
    <mergeCell ref="B64:D64"/>
    <mergeCell ref="B67:D67"/>
    <mergeCell ref="B66:D66"/>
    <mergeCell ref="B65:D65"/>
    <mergeCell ref="B53:D53"/>
    <mergeCell ref="B52:E52"/>
    <mergeCell ref="B50:C50"/>
    <mergeCell ref="B42:E42"/>
    <mergeCell ref="C36:D36"/>
  </mergeCells>
  <dataValidations count="4">
    <dataValidation type="decimal" sqref="C1" xr:uid="{00000000-0002-0000-2800-000000000000}">
      <formula1>0</formula1>
      <formula2>2</formula2>
    </dataValidation>
    <dataValidation type="list" sqref="A1 E53:E67 E8 E44 E11 E21:E22 E40 E19" xr:uid="{00000000-0002-0000-2800-000001000000}">
      <formula1>"☐,☑"</formula1>
    </dataValidation>
    <dataValidation sqref="E13:E15 E37:E39 E46:E48" xr:uid="{D9F0BC35-3155-4B36-A1E8-90B7AE5D789B}"/>
    <dataValidation type="list" allowBlank="1" showInputMessage="1" showErrorMessage="1" sqref="B24:B35" xr:uid="{321E31A7-6120-48F0-93B3-612D017CDA7E}">
      <formula1>"Car, Bus, Van"</formula1>
    </dataValidation>
  </dataValidation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E27"/>
  <sheetViews>
    <sheetView workbookViewId="0">
      <selection activeCell="G13" sqref="G13"/>
    </sheetView>
  </sheetViews>
  <sheetFormatPr defaultRowHeight="13.8"/>
  <cols>
    <col min="1" max="1" width="6" style="93" customWidth="1"/>
    <col min="2" max="2" width="39" style="93" customWidth="1"/>
    <col min="3" max="4" width="26" style="93" customWidth="1"/>
    <col min="5" max="5" width="18" style="93" customWidth="1"/>
    <col min="6" max="16384" width="8.796875" style="93"/>
  </cols>
  <sheetData>
    <row r="1" spans="1:5" ht="17.399999999999999">
      <c r="A1" s="91" t="s">
        <v>134</v>
      </c>
      <c r="B1" s="92" t="s">
        <v>163</v>
      </c>
      <c r="C1" s="9">
        <f>IF(COUNTIF(E8:E12,"☑")=5,1,0)</f>
        <v>0</v>
      </c>
      <c r="D1" s="92" t="s">
        <v>317</v>
      </c>
      <c r="E1" s="92">
        <f>IF('Project Info'!$C$8="New Hotel",2,2)</f>
        <v>2</v>
      </c>
    </row>
    <row r="2" spans="1:5" ht="34.5" customHeight="1">
      <c r="A2" s="94"/>
      <c r="B2" s="532" t="s">
        <v>89</v>
      </c>
      <c r="C2" s="532"/>
      <c r="D2" s="95"/>
      <c r="E2" s="95" t="s">
        <v>88</v>
      </c>
    </row>
    <row r="3" spans="1:5" ht="15.6">
      <c r="A3" s="94"/>
      <c r="B3" s="96" t="s">
        <v>5</v>
      </c>
      <c r="C3" s="97"/>
      <c r="D3" s="97"/>
      <c r="E3" s="97" t="str">
        <f>HYPERLINK("#'Checklist'!A1","Go To Checklist")</f>
        <v>Go To Checklist</v>
      </c>
    </row>
    <row r="4" spans="1:5" ht="15.45" customHeight="1">
      <c r="A4" s="94"/>
      <c r="B4" s="115" t="s">
        <v>918</v>
      </c>
      <c r="C4" s="116"/>
      <c r="D4" s="116"/>
      <c r="E4" s="116"/>
    </row>
    <row r="5" spans="1:5" ht="17.399999999999999" customHeight="1">
      <c r="A5" s="94"/>
      <c r="B5" s="866" t="s">
        <v>1581</v>
      </c>
      <c r="C5" s="866"/>
      <c r="D5" s="866"/>
      <c r="E5" s="440"/>
    </row>
    <row r="6" spans="1:5" ht="30" customHeight="1">
      <c r="A6" s="94"/>
      <c r="B6" s="906" t="s">
        <v>1580</v>
      </c>
      <c r="C6" s="906"/>
      <c r="D6" s="906"/>
      <c r="E6" s="906"/>
    </row>
    <row r="7" spans="1:5" ht="17.399999999999999" customHeight="1">
      <c r="A7" s="94"/>
      <c r="B7" s="905" t="s">
        <v>1047</v>
      </c>
      <c r="C7" s="905"/>
      <c r="D7" s="523" t="s">
        <v>1060</v>
      </c>
      <c r="E7" s="524" t="s">
        <v>137</v>
      </c>
    </row>
    <row r="8" spans="1:5" ht="30" customHeight="1">
      <c r="A8" s="94"/>
      <c r="B8" s="608" t="s">
        <v>1547</v>
      </c>
      <c r="C8" s="608"/>
      <c r="D8" s="143"/>
      <c r="E8" s="243" t="s">
        <v>139</v>
      </c>
    </row>
    <row r="9" spans="1:5" ht="32.4" customHeight="1">
      <c r="A9" s="94"/>
      <c r="B9" s="608" t="s">
        <v>1548</v>
      </c>
      <c r="C9" s="608"/>
      <c r="D9" s="143"/>
      <c r="E9" s="243" t="s">
        <v>139</v>
      </c>
    </row>
    <row r="10" spans="1:5" ht="32.4" customHeight="1">
      <c r="A10" s="94"/>
      <c r="B10" s="473" t="s">
        <v>1577</v>
      </c>
      <c r="C10" s="701"/>
      <c r="D10" s="701"/>
      <c r="E10" s="243" t="s">
        <v>139</v>
      </c>
    </row>
    <row r="11" spans="1:5" ht="32.4" customHeight="1">
      <c r="A11" s="94"/>
      <c r="B11" s="473" t="s">
        <v>1578</v>
      </c>
      <c r="C11" s="701"/>
      <c r="D11" s="701"/>
      <c r="E11" s="243" t="s">
        <v>139</v>
      </c>
    </row>
    <row r="12" spans="1:5" ht="32.4" customHeight="1">
      <c r="A12" s="94"/>
      <c r="B12" s="473" t="s">
        <v>1579</v>
      </c>
      <c r="C12" s="701"/>
      <c r="D12" s="701"/>
      <c r="E12" s="243" t="s">
        <v>139</v>
      </c>
    </row>
    <row r="13" spans="1:5" ht="32.4" customHeight="1">
      <c r="A13" s="94"/>
      <c r="B13" s="113"/>
      <c r="C13" s="128"/>
      <c r="D13" s="128"/>
      <c r="E13" s="310"/>
    </row>
    <row r="14" spans="1:5" ht="18" customHeight="1">
      <c r="A14" s="94"/>
      <c r="B14" s="539" t="s">
        <v>89</v>
      </c>
      <c r="C14" s="539"/>
      <c r="D14" s="275" t="s">
        <v>189</v>
      </c>
      <c r="E14" s="8">
        <f>C1</f>
        <v>0</v>
      </c>
    </row>
    <row r="15" spans="1:5" ht="18" customHeight="1">
      <c r="A15" s="94"/>
      <c r="B15" s="97"/>
      <c r="C15" s="97"/>
      <c r="D15" s="97"/>
      <c r="E15" s="97"/>
    </row>
    <row r="16" spans="1:5" ht="18" customHeight="1">
      <c r="A16" s="94"/>
      <c r="B16" s="537" t="s">
        <v>146</v>
      </c>
      <c r="C16" s="537"/>
      <c r="D16" s="537"/>
      <c r="E16" s="537"/>
    </row>
    <row r="17" spans="1:5" ht="17.399999999999999">
      <c r="A17" s="94"/>
      <c r="B17" s="748" t="s">
        <v>862</v>
      </c>
      <c r="C17" s="748"/>
      <c r="D17" s="748"/>
      <c r="E17" s="101"/>
    </row>
    <row r="18" spans="1:5" ht="18" customHeight="1">
      <c r="A18" s="103"/>
      <c r="B18" s="538" t="s">
        <v>863</v>
      </c>
      <c r="C18" s="538"/>
      <c r="D18" s="538"/>
      <c r="E18" s="101" t="s">
        <v>139</v>
      </c>
    </row>
    <row r="19" spans="1:5" ht="17.399999999999999" customHeight="1">
      <c r="A19" s="103"/>
      <c r="B19" s="538" t="s">
        <v>864</v>
      </c>
      <c r="C19" s="538"/>
      <c r="D19" s="538"/>
      <c r="E19" s="101" t="s">
        <v>139</v>
      </c>
    </row>
    <row r="20" spans="1:5" ht="17.399999999999999" customHeight="1">
      <c r="A20" s="103"/>
      <c r="B20" s="538" t="s">
        <v>865</v>
      </c>
      <c r="C20" s="538"/>
      <c r="D20" s="538"/>
      <c r="E20" s="101" t="s">
        <v>139</v>
      </c>
    </row>
    <row r="21" spans="1:5" ht="17.399999999999999" customHeight="1">
      <c r="A21" s="103"/>
      <c r="B21" s="538" t="s">
        <v>866</v>
      </c>
      <c r="C21" s="538"/>
      <c r="D21" s="538"/>
      <c r="E21" s="101" t="s">
        <v>139</v>
      </c>
    </row>
    <row r="22" spans="1:5" ht="17.399999999999999">
      <c r="A22" s="103"/>
      <c r="B22" s="538" t="s">
        <v>867</v>
      </c>
      <c r="C22" s="538"/>
      <c r="D22" s="538"/>
      <c r="E22" s="101" t="s">
        <v>139</v>
      </c>
    </row>
    <row r="23" spans="1:5" ht="14.4">
      <c r="A23" s="103"/>
      <c r="B23" s="645" t="s">
        <v>147</v>
      </c>
      <c r="C23" s="645"/>
      <c r="D23" s="645"/>
    </row>
    <row r="24" spans="1:5" ht="14.4">
      <c r="A24" s="103"/>
      <c r="B24" s="538"/>
      <c r="C24" s="538"/>
      <c r="D24" s="538"/>
    </row>
    <row r="25" spans="1:5" ht="14.4">
      <c r="A25" s="103"/>
    </row>
    <row r="26" spans="1:5" ht="14.4">
      <c r="A26" s="103"/>
    </row>
    <row r="27" spans="1:5">
      <c r="B27" s="97"/>
      <c r="C27" s="97"/>
      <c r="D27" s="97"/>
    </row>
  </sheetData>
  <sheetProtection sheet="1" objects="1" scenarios="1"/>
  <mergeCells count="19">
    <mergeCell ref="B17:D17"/>
    <mergeCell ref="C10:D10"/>
    <mergeCell ref="C11:D11"/>
    <mergeCell ref="C12:D12"/>
    <mergeCell ref="B14:C14"/>
    <mergeCell ref="B16:E16"/>
    <mergeCell ref="B23:D23"/>
    <mergeCell ref="B24:D24"/>
    <mergeCell ref="B18:D18"/>
    <mergeCell ref="B20:D20"/>
    <mergeCell ref="B22:D22"/>
    <mergeCell ref="B21:D21"/>
    <mergeCell ref="B19:D19"/>
    <mergeCell ref="B2:C2"/>
    <mergeCell ref="B7:C7"/>
    <mergeCell ref="B8:C8"/>
    <mergeCell ref="B9:C9"/>
    <mergeCell ref="B5:D5"/>
    <mergeCell ref="B6:E6"/>
  </mergeCells>
  <dataValidations count="2">
    <dataValidation type="decimal" sqref="C1" xr:uid="{00000000-0002-0000-2900-000000000000}">
      <formula1>0</formula1>
      <formula2>2</formula2>
    </dataValidation>
    <dataValidation type="list" sqref="A1 E17:E22 E8:E13 E5" xr:uid="{00000000-0002-0000-2900-000001000000}">
      <formula1>"☐,☑"</formula1>
    </dataValidation>
  </dataValidation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P69"/>
  <sheetViews>
    <sheetView zoomScale="70" zoomScaleNormal="70" workbookViewId="0">
      <selection activeCell="S56" sqref="S56"/>
    </sheetView>
  </sheetViews>
  <sheetFormatPr defaultRowHeight="13.8"/>
  <cols>
    <col min="1" max="1" width="6" customWidth="1"/>
    <col min="2" max="2" width="15.3984375" customWidth="1"/>
    <col min="3" max="3" width="15.8984375" customWidth="1"/>
    <col min="4" max="4" width="13.19921875" customWidth="1"/>
    <col min="5" max="5" width="10.19921875" customWidth="1"/>
    <col min="6" max="6" width="12.19921875" customWidth="1"/>
    <col min="7" max="7" width="15.19921875" customWidth="1"/>
    <col min="8" max="8" width="13.296875" customWidth="1"/>
    <col min="9" max="9" width="18.69921875" customWidth="1"/>
    <col min="10" max="10" width="15.296875" customWidth="1"/>
    <col min="12" max="12" width="14.296875" customWidth="1"/>
    <col min="13" max="13" width="16.3984375" customWidth="1"/>
    <col min="14" max="14" width="17.09765625" customWidth="1"/>
    <col min="15" max="16" width="16.69921875" customWidth="1"/>
  </cols>
  <sheetData>
    <row r="1" spans="1:16" ht="17.399999999999999" customHeight="1">
      <c r="A1" s="6" t="s">
        <v>134</v>
      </c>
      <c r="B1" s="908" t="s">
        <v>163</v>
      </c>
      <c r="C1" s="908"/>
      <c r="D1" s="908"/>
      <c r="E1" s="908"/>
      <c r="F1" s="908"/>
      <c r="G1" s="908"/>
      <c r="H1" s="908"/>
      <c r="I1" s="909" t="s">
        <v>998</v>
      </c>
      <c r="J1" s="909"/>
      <c r="K1" s="909"/>
      <c r="L1" s="909"/>
      <c r="M1" s="909"/>
      <c r="N1" s="909"/>
      <c r="O1" s="909"/>
      <c r="P1" s="909"/>
    </row>
    <row r="2" spans="1:16" ht="27" customHeight="1">
      <c r="A2" s="2"/>
      <c r="B2" s="924" t="s">
        <v>92</v>
      </c>
      <c r="C2" s="924"/>
      <c r="D2" s="924"/>
      <c r="E2" s="924"/>
      <c r="F2" s="924"/>
      <c r="G2" s="924"/>
      <c r="H2" s="924"/>
      <c r="I2" s="5"/>
      <c r="J2" s="5"/>
      <c r="K2" s="5"/>
      <c r="L2" s="5"/>
      <c r="M2" s="5"/>
      <c r="N2" s="5"/>
      <c r="O2" s="5"/>
      <c r="P2" s="5" t="s">
        <v>91</v>
      </c>
    </row>
    <row r="3" spans="1:16" ht="13.8" customHeight="1">
      <c r="A3" s="2"/>
      <c r="B3" s="636" t="s">
        <v>136</v>
      </c>
      <c r="C3" s="636"/>
      <c r="D3" s="636"/>
      <c r="E3" s="636"/>
      <c r="F3" s="636"/>
      <c r="G3" s="636"/>
      <c r="H3" s="636"/>
      <c r="I3" s="636"/>
      <c r="J3" s="636"/>
      <c r="K3" s="917" t="str">
        <f>IF(OR(AND(E50&gt;0,G50&gt;0),AND(P7="☑",P55&gt;8%)),"Compliant","Pending")</f>
        <v>Pending</v>
      </c>
      <c r="L3" s="917"/>
      <c r="M3" s="917"/>
      <c r="N3" s="917"/>
      <c r="O3" s="917"/>
      <c r="P3" s="917"/>
    </row>
    <row r="4" spans="1:16" ht="15.6">
      <c r="A4" s="2"/>
      <c r="B4" s="16" t="s">
        <v>5</v>
      </c>
      <c r="C4" s="16"/>
      <c r="D4" s="16"/>
      <c r="E4" s="16"/>
      <c r="F4" s="16"/>
      <c r="G4" s="16"/>
      <c r="H4" s="16"/>
      <c r="I4" s="16"/>
      <c r="J4" s="3"/>
      <c r="N4" s="3"/>
      <c r="O4" s="907" t="str">
        <f>HYPERLINK("#'Checklist'!A1","Go To Checklist")</f>
        <v>Go To Checklist</v>
      </c>
      <c r="P4" s="907"/>
    </row>
    <row r="5" spans="1:16" ht="46.8" customHeight="1">
      <c r="A5" s="2"/>
      <c r="B5" s="920" t="s">
        <v>710</v>
      </c>
      <c r="C5" s="920"/>
      <c r="D5" s="920"/>
      <c r="E5" s="920"/>
      <c r="F5" s="920"/>
      <c r="G5" s="920"/>
      <c r="H5" s="920"/>
      <c r="I5" s="920"/>
      <c r="J5" s="920"/>
      <c r="L5" s="882" t="s">
        <v>710</v>
      </c>
      <c r="M5" s="915"/>
      <c r="N5" s="915"/>
      <c r="O5" s="915"/>
      <c r="P5" s="916"/>
    </row>
    <row r="6" spans="1:16" ht="15.6" customHeight="1">
      <c r="A6" s="2"/>
      <c r="B6" s="912" t="s">
        <v>918</v>
      </c>
      <c r="C6" s="912"/>
      <c r="D6" s="912"/>
      <c r="E6" s="912"/>
      <c r="F6" s="912"/>
      <c r="G6" s="912"/>
      <c r="H6" s="912"/>
      <c r="I6" s="912"/>
      <c r="J6" s="40" t="s">
        <v>137</v>
      </c>
      <c r="K6" s="926" t="s">
        <v>917</v>
      </c>
      <c r="L6" s="912" t="s">
        <v>918</v>
      </c>
      <c r="M6" s="912"/>
      <c r="N6" s="912"/>
      <c r="O6" s="912"/>
      <c r="P6" s="40" t="s">
        <v>137</v>
      </c>
    </row>
    <row r="7" spans="1:16" ht="17.399999999999999" customHeight="1">
      <c r="A7" s="2"/>
      <c r="B7" s="913" t="s">
        <v>1066</v>
      </c>
      <c r="C7" s="913"/>
      <c r="D7" s="913"/>
      <c r="E7" s="913"/>
      <c r="F7" s="913"/>
      <c r="G7" s="913"/>
      <c r="H7" s="913"/>
      <c r="I7" s="913"/>
      <c r="J7" s="7" t="s">
        <v>134</v>
      </c>
      <c r="K7" s="926"/>
      <c r="L7" s="913" t="s">
        <v>1068</v>
      </c>
      <c r="M7" s="913"/>
      <c r="N7" s="913"/>
      <c r="O7" s="913"/>
      <c r="P7" s="7" t="s">
        <v>134</v>
      </c>
    </row>
    <row r="8" spans="1:16" ht="18" customHeight="1">
      <c r="A8" s="2"/>
      <c r="B8" s="919" t="s">
        <v>1067</v>
      </c>
      <c r="C8" s="919"/>
      <c r="D8" s="919"/>
      <c r="E8" s="919"/>
      <c r="F8" s="919"/>
      <c r="G8" s="919"/>
      <c r="H8" s="919"/>
      <c r="I8" s="919"/>
      <c r="J8" s="919"/>
      <c r="K8" s="926"/>
      <c r="L8" s="914" t="s">
        <v>1587</v>
      </c>
      <c r="M8" s="914"/>
      <c r="N8" s="914"/>
      <c r="O8" s="914"/>
      <c r="P8" s="914"/>
    </row>
    <row r="9" spans="1:16" ht="96" customHeight="1">
      <c r="A9" s="2"/>
      <c r="B9" s="68" t="s">
        <v>1582</v>
      </c>
      <c r="C9" s="75" t="s">
        <v>1583</v>
      </c>
      <c r="D9" s="75" t="s">
        <v>1594</v>
      </c>
      <c r="E9" s="75" t="s">
        <v>1584</v>
      </c>
      <c r="F9" s="75" t="s">
        <v>1585</v>
      </c>
      <c r="G9" s="75" t="s">
        <v>1588</v>
      </c>
      <c r="H9" s="75" t="s">
        <v>1591</v>
      </c>
      <c r="I9" s="75" t="s">
        <v>1589</v>
      </c>
      <c r="J9" s="75" t="s">
        <v>1590</v>
      </c>
      <c r="L9" s="68" t="s">
        <v>1582</v>
      </c>
      <c r="M9" s="75" t="s">
        <v>1583</v>
      </c>
      <c r="N9" s="75" t="s">
        <v>1592</v>
      </c>
      <c r="O9" s="75" t="s">
        <v>1593</v>
      </c>
      <c r="P9" s="75" t="s">
        <v>1586</v>
      </c>
    </row>
    <row r="10" spans="1:16" ht="15" customHeight="1">
      <c r="A10" s="2"/>
      <c r="B10" s="51">
        <v>1</v>
      </c>
      <c r="C10" s="51"/>
      <c r="D10" s="51"/>
      <c r="E10" s="51"/>
      <c r="F10" s="51"/>
      <c r="G10" s="51"/>
      <c r="H10" s="26">
        <f>(D10*E10)+(F10*G10)</f>
        <v>0</v>
      </c>
      <c r="I10" s="51"/>
      <c r="J10" s="51"/>
      <c r="L10" s="51">
        <v>1</v>
      </c>
      <c r="M10" s="51"/>
      <c r="N10" s="51">
        <v>0</v>
      </c>
      <c r="O10" s="51">
        <v>0</v>
      </c>
      <c r="P10" s="76" t="e">
        <f>O10/N10</f>
        <v>#DIV/0!</v>
      </c>
    </row>
    <row r="11" spans="1:16" ht="15" customHeight="1">
      <c r="A11" s="2"/>
      <c r="B11" s="51">
        <v>2</v>
      </c>
      <c r="C11" s="51"/>
      <c r="D11" s="51"/>
      <c r="E11" s="51"/>
      <c r="F11" s="51"/>
      <c r="G11" s="51"/>
      <c r="H11" s="26">
        <f t="shared" ref="H11:H49" si="0">(D11*E11)+(F11*G11)</f>
        <v>0</v>
      </c>
      <c r="I11" s="51"/>
      <c r="J11" s="51"/>
      <c r="L11" s="51">
        <v>2</v>
      </c>
      <c r="M11" s="51"/>
      <c r="N11" s="51">
        <v>0</v>
      </c>
      <c r="O11" s="51">
        <v>0</v>
      </c>
      <c r="P11" s="76" t="e">
        <f>O11/N11</f>
        <v>#DIV/0!</v>
      </c>
    </row>
    <row r="12" spans="1:16" ht="15" customHeight="1">
      <c r="A12" s="2"/>
      <c r="B12" s="51">
        <v>3</v>
      </c>
      <c r="C12" s="51"/>
      <c r="D12" s="51"/>
      <c r="E12" s="51"/>
      <c r="F12" s="51"/>
      <c r="G12" s="51"/>
      <c r="H12" s="26">
        <f t="shared" si="0"/>
        <v>0</v>
      </c>
      <c r="I12" s="51"/>
      <c r="J12" s="51"/>
      <c r="L12" s="51">
        <v>3</v>
      </c>
      <c r="M12" s="51"/>
      <c r="N12" s="51">
        <v>0</v>
      </c>
      <c r="O12" s="51">
        <v>0</v>
      </c>
      <c r="P12" s="76" t="e">
        <f t="shared" ref="P12:P48" si="1">O12/N12</f>
        <v>#DIV/0!</v>
      </c>
    </row>
    <row r="13" spans="1:16" ht="15" customHeight="1">
      <c r="A13" s="2"/>
      <c r="B13" s="51">
        <v>4</v>
      </c>
      <c r="C13" s="51"/>
      <c r="D13" s="51"/>
      <c r="E13" s="51"/>
      <c r="F13" s="51"/>
      <c r="G13" s="51"/>
      <c r="H13" s="26">
        <f t="shared" si="0"/>
        <v>0</v>
      </c>
      <c r="I13" s="51"/>
      <c r="J13" s="51"/>
      <c r="L13" s="51">
        <v>4</v>
      </c>
      <c r="M13" s="51"/>
      <c r="N13" s="51">
        <v>0</v>
      </c>
      <c r="O13" s="51">
        <v>0</v>
      </c>
      <c r="P13" s="76" t="e">
        <f t="shared" si="1"/>
        <v>#DIV/0!</v>
      </c>
    </row>
    <row r="14" spans="1:16" ht="15" customHeight="1">
      <c r="A14" s="2"/>
      <c r="B14" s="51">
        <v>5</v>
      </c>
      <c r="C14" s="51"/>
      <c r="D14" s="51"/>
      <c r="E14" s="51"/>
      <c r="F14" s="51"/>
      <c r="G14" s="51"/>
      <c r="H14" s="26">
        <f t="shared" si="0"/>
        <v>0</v>
      </c>
      <c r="I14" s="51"/>
      <c r="J14" s="51"/>
      <c r="L14" s="51">
        <v>5</v>
      </c>
      <c r="M14" s="51"/>
      <c r="N14" s="51">
        <v>0</v>
      </c>
      <c r="O14" s="51">
        <v>0</v>
      </c>
      <c r="P14" s="76" t="e">
        <f t="shared" si="1"/>
        <v>#DIV/0!</v>
      </c>
    </row>
    <row r="15" spans="1:16" ht="15" customHeight="1">
      <c r="A15" s="2"/>
      <c r="B15" s="51">
        <v>6</v>
      </c>
      <c r="C15" s="51"/>
      <c r="D15" s="51"/>
      <c r="E15" s="51"/>
      <c r="F15" s="51"/>
      <c r="G15" s="51"/>
      <c r="H15" s="26">
        <f t="shared" si="0"/>
        <v>0</v>
      </c>
      <c r="I15" s="51"/>
      <c r="J15" s="51"/>
      <c r="L15" s="51">
        <v>6</v>
      </c>
      <c r="M15" s="51"/>
      <c r="N15" s="51">
        <v>0</v>
      </c>
      <c r="O15" s="51">
        <v>0</v>
      </c>
      <c r="P15" s="76" t="e">
        <f t="shared" si="1"/>
        <v>#DIV/0!</v>
      </c>
    </row>
    <row r="16" spans="1:16" ht="15" customHeight="1">
      <c r="A16" s="2"/>
      <c r="B16" s="51">
        <v>7</v>
      </c>
      <c r="C16" s="51"/>
      <c r="D16" s="51"/>
      <c r="E16" s="51"/>
      <c r="F16" s="51"/>
      <c r="G16" s="51"/>
      <c r="H16" s="26">
        <f t="shared" si="0"/>
        <v>0</v>
      </c>
      <c r="I16" s="51"/>
      <c r="J16" s="51"/>
      <c r="L16" s="51">
        <v>7</v>
      </c>
      <c r="M16" s="51"/>
      <c r="N16" s="51">
        <v>0</v>
      </c>
      <c r="O16" s="51">
        <v>0</v>
      </c>
      <c r="P16" s="76" t="e">
        <f t="shared" si="1"/>
        <v>#DIV/0!</v>
      </c>
    </row>
    <row r="17" spans="1:16" ht="15" customHeight="1">
      <c r="A17" s="2"/>
      <c r="B17" s="51">
        <v>8</v>
      </c>
      <c r="C17" s="51"/>
      <c r="D17" s="51"/>
      <c r="E17" s="51"/>
      <c r="F17" s="51"/>
      <c r="G17" s="51"/>
      <c r="H17" s="26">
        <f t="shared" si="0"/>
        <v>0</v>
      </c>
      <c r="I17" s="51"/>
      <c r="J17" s="51"/>
      <c r="L17" s="51">
        <v>8</v>
      </c>
      <c r="M17" s="51"/>
      <c r="N17" s="51">
        <v>0</v>
      </c>
      <c r="O17" s="51">
        <v>0</v>
      </c>
      <c r="P17" s="76" t="e">
        <f t="shared" si="1"/>
        <v>#DIV/0!</v>
      </c>
    </row>
    <row r="18" spans="1:16" ht="15" customHeight="1">
      <c r="A18" s="2"/>
      <c r="B18" s="51">
        <v>9</v>
      </c>
      <c r="C18" s="51"/>
      <c r="D18" s="51"/>
      <c r="E18" s="51"/>
      <c r="F18" s="51"/>
      <c r="G18" s="51"/>
      <c r="H18" s="26">
        <f t="shared" si="0"/>
        <v>0</v>
      </c>
      <c r="I18" s="51"/>
      <c r="J18" s="51"/>
      <c r="L18" s="51">
        <v>9</v>
      </c>
      <c r="M18" s="51"/>
      <c r="N18" s="51">
        <v>0</v>
      </c>
      <c r="O18" s="51">
        <v>0</v>
      </c>
      <c r="P18" s="76" t="e">
        <f t="shared" si="1"/>
        <v>#DIV/0!</v>
      </c>
    </row>
    <row r="19" spans="1:16" ht="15" customHeight="1">
      <c r="A19" s="2"/>
      <c r="B19" s="51">
        <v>10</v>
      </c>
      <c r="C19" s="51"/>
      <c r="D19" s="51"/>
      <c r="E19" s="51"/>
      <c r="F19" s="51"/>
      <c r="G19" s="51"/>
      <c r="H19" s="26">
        <f t="shared" si="0"/>
        <v>0</v>
      </c>
      <c r="I19" s="51"/>
      <c r="J19" s="51"/>
      <c r="L19" s="51">
        <v>10</v>
      </c>
      <c r="M19" s="51"/>
      <c r="N19" s="51">
        <v>0</v>
      </c>
      <c r="O19" s="51">
        <v>0</v>
      </c>
      <c r="P19" s="76" t="e">
        <f t="shared" si="1"/>
        <v>#DIV/0!</v>
      </c>
    </row>
    <row r="20" spans="1:16" ht="15" customHeight="1">
      <c r="A20" s="2"/>
      <c r="B20" s="51">
        <v>11</v>
      </c>
      <c r="C20" s="51"/>
      <c r="D20" s="51"/>
      <c r="E20" s="51"/>
      <c r="F20" s="51"/>
      <c r="G20" s="51"/>
      <c r="H20" s="26">
        <f t="shared" si="0"/>
        <v>0</v>
      </c>
      <c r="I20" s="51"/>
      <c r="J20" s="51"/>
      <c r="L20" s="51">
        <v>11</v>
      </c>
      <c r="M20" s="51"/>
      <c r="N20" s="51">
        <v>0</v>
      </c>
      <c r="O20" s="51">
        <v>0</v>
      </c>
      <c r="P20" s="76" t="e">
        <f t="shared" si="1"/>
        <v>#DIV/0!</v>
      </c>
    </row>
    <row r="21" spans="1:16" ht="15" customHeight="1">
      <c r="A21" s="2"/>
      <c r="B21" s="51">
        <v>12</v>
      </c>
      <c r="C21" s="51"/>
      <c r="D21" s="51"/>
      <c r="E21" s="51"/>
      <c r="F21" s="51"/>
      <c r="G21" s="51"/>
      <c r="H21" s="26">
        <f t="shared" si="0"/>
        <v>0</v>
      </c>
      <c r="I21" s="51"/>
      <c r="J21" s="51"/>
      <c r="L21" s="51">
        <v>12</v>
      </c>
      <c r="M21" s="51"/>
      <c r="N21" s="51">
        <v>0</v>
      </c>
      <c r="O21" s="51">
        <v>0</v>
      </c>
      <c r="P21" s="76" t="e">
        <f t="shared" si="1"/>
        <v>#DIV/0!</v>
      </c>
    </row>
    <row r="22" spans="1:16" ht="15" customHeight="1">
      <c r="A22" s="2"/>
      <c r="B22" s="51">
        <v>13</v>
      </c>
      <c r="C22" s="51"/>
      <c r="D22" s="51"/>
      <c r="E22" s="51"/>
      <c r="F22" s="51"/>
      <c r="G22" s="51"/>
      <c r="H22" s="26">
        <f t="shared" si="0"/>
        <v>0</v>
      </c>
      <c r="I22" s="51"/>
      <c r="J22" s="51"/>
      <c r="L22" s="51">
        <v>13</v>
      </c>
      <c r="M22" s="51"/>
      <c r="N22" s="51">
        <v>0</v>
      </c>
      <c r="O22" s="51">
        <v>0</v>
      </c>
      <c r="P22" s="76" t="e">
        <f t="shared" si="1"/>
        <v>#DIV/0!</v>
      </c>
    </row>
    <row r="23" spans="1:16" ht="15" customHeight="1">
      <c r="A23" s="2"/>
      <c r="B23" s="51">
        <v>14</v>
      </c>
      <c r="C23" s="51"/>
      <c r="D23" s="51"/>
      <c r="E23" s="51"/>
      <c r="F23" s="51"/>
      <c r="G23" s="51"/>
      <c r="H23" s="26">
        <f t="shared" si="0"/>
        <v>0</v>
      </c>
      <c r="I23" s="51"/>
      <c r="J23" s="51"/>
      <c r="L23" s="51">
        <v>14</v>
      </c>
      <c r="M23" s="51"/>
      <c r="N23" s="51">
        <v>0</v>
      </c>
      <c r="O23" s="51">
        <v>0</v>
      </c>
      <c r="P23" s="76" t="e">
        <f t="shared" si="1"/>
        <v>#DIV/0!</v>
      </c>
    </row>
    <row r="24" spans="1:16" ht="15" customHeight="1">
      <c r="A24" s="2"/>
      <c r="B24" s="51">
        <v>15</v>
      </c>
      <c r="C24" s="51"/>
      <c r="D24" s="51"/>
      <c r="E24" s="51"/>
      <c r="F24" s="51"/>
      <c r="G24" s="51"/>
      <c r="H24" s="26">
        <f t="shared" si="0"/>
        <v>0</v>
      </c>
      <c r="I24" s="51"/>
      <c r="J24" s="51"/>
      <c r="L24" s="51">
        <v>15</v>
      </c>
      <c r="M24" s="51"/>
      <c r="N24" s="51">
        <v>0</v>
      </c>
      <c r="O24" s="51">
        <v>0</v>
      </c>
      <c r="P24" s="76" t="e">
        <f t="shared" si="1"/>
        <v>#DIV/0!</v>
      </c>
    </row>
    <row r="25" spans="1:16" ht="15" customHeight="1">
      <c r="A25" s="2"/>
      <c r="B25" s="51">
        <v>16</v>
      </c>
      <c r="C25" s="51"/>
      <c r="D25" s="51"/>
      <c r="E25" s="51"/>
      <c r="F25" s="51"/>
      <c r="G25" s="51"/>
      <c r="H25" s="26">
        <f t="shared" si="0"/>
        <v>0</v>
      </c>
      <c r="I25" s="51"/>
      <c r="J25" s="51"/>
      <c r="L25" s="51">
        <v>16</v>
      </c>
      <c r="M25" s="51"/>
      <c r="N25" s="51">
        <v>0</v>
      </c>
      <c r="O25" s="51">
        <v>0</v>
      </c>
      <c r="P25" s="76" t="e">
        <f t="shared" si="1"/>
        <v>#DIV/0!</v>
      </c>
    </row>
    <row r="26" spans="1:16" ht="15" customHeight="1">
      <c r="A26" s="2"/>
      <c r="B26" s="51">
        <v>17</v>
      </c>
      <c r="C26" s="51"/>
      <c r="D26" s="51"/>
      <c r="E26" s="51"/>
      <c r="F26" s="51"/>
      <c r="G26" s="51"/>
      <c r="H26" s="26">
        <f t="shared" si="0"/>
        <v>0</v>
      </c>
      <c r="I26" s="51"/>
      <c r="J26" s="51"/>
      <c r="L26" s="51">
        <v>17</v>
      </c>
      <c r="M26" s="51"/>
      <c r="N26" s="51">
        <v>0</v>
      </c>
      <c r="O26" s="51">
        <v>0</v>
      </c>
      <c r="P26" s="76" t="e">
        <f t="shared" si="1"/>
        <v>#DIV/0!</v>
      </c>
    </row>
    <row r="27" spans="1:16" ht="15" customHeight="1">
      <c r="A27" s="2"/>
      <c r="B27" s="51">
        <v>18</v>
      </c>
      <c r="C27" s="51"/>
      <c r="D27" s="51"/>
      <c r="E27" s="51"/>
      <c r="F27" s="51"/>
      <c r="G27" s="51"/>
      <c r="H27" s="26">
        <f t="shared" si="0"/>
        <v>0</v>
      </c>
      <c r="I27" s="51"/>
      <c r="J27" s="51"/>
      <c r="L27" s="51">
        <v>18</v>
      </c>
      <c r="M27" s="51"/>
      <c r="N27" s="51">
        <v>0</v>
      </c>
      <c r="O27" s="51">
        <v>0</v>
      </c>
      <c r="P27" s="76" t="e">
        <f t="shared" si="1"/>
        <v>#DIV/0!</v>
      </c>
    </row>
    <row r="28" spans="1:16" ht="15" customHeight="1">
      <c r="A28" s="2"/>
      <c r="B28" s="51">
        <v>19</v>
      </c>
      <c r="C28" s="51"/>
      <c r="D28" s="51"/>
      <c r="E28" s="51"/>
      <c r="F28" s="51"/>
      <c r="G28" s="51"/>
      <c r="H28" s="26">
        <f t="shared" si="0"/>
        <v>0</v>
      </c>
      <c r="I28" s="51"/>
      <c r="J28" s="51"/>
      <c r="L28" s="51">
        <v>19</v>
      </c>
      <c r="M28" s="51"/>
      <c r="N28" s="51">
        <v>0</v>
      </c>
      <c r="O28" s="51">
        <v>0</v>
      </c>
      <c r="P28" s="76" t="e">
        <f t="shared" si="1"/>
        <v>#DIV/0!</v>
      </c>
    </row>
    <row r="29" spans="1:16" ht="15" customHeight="1">
      <c r="A29" s="2"/>
      <c r="B29" s="51">
        <v>20</v>
      </c>
      <c r="C29" s="51"/>
      <c r="D29" s="51"/>
      <c r="E29" s="51"/>
      <c r="F29" s="51"/>
      <c r="G29" s="51"/>
      <c r="H29" s="26">
        <f t="shared" si="0"/>
        <v>0</v>
      </c>
      <c r="I29" s="51"/>
      <c r="J29" s="51"/>
      <c r="L29" s="51">
        <v>20</v>
      </c>
      <c r="M29" s="51"/>
      <c r="N29" s="51">
        <v>0</v>
      </c>
      <c r="O29" s="51">
        <v>0</v>
      </c>
      <c r="P29" s="76" t="e">
        <f t="shared" si="1"/>
        <v>#DIV/0!</v>
      </c>
    </row>
    <row r="30" spans="1:16" ht="15" customHeight="1">
      <c r="A30" s="2"/>
      <c r="B30" s="51">
        <v>21</v>
      </c>
      <c r="C30" s="51"/>
      <c r="D30" s="51"/>
      <c r="E30" s="51"/>
      <c r="F30" s="51"/>
      <c r="G30" s="51"/>
      <c r="H30" s="26">
        <f t="shared" si="0"/>
        <v>0</v>
      </c>
      <c r="I30" s="51"/>
      <c r="J30" s="51"/>
      <c r="L30" s="51">
        <v>21</v>
      </c>
      <c r="M30" s="51"/>
      <c r="N30" s="51">
        <v>0</v>
      </c>
      <c r="O30" s="51">
        <v>0</v>
      </c>
      <c r="P30" s="76" t="e">
        <f t="shared" si="1"/>
        <v>#DIV/0!</v>
      </c>
    </row>
    <row r="31" spans="1:16" ht="15" customHeight="1">
      <c r="A31" s="2"/>
      <c r="B31" s="51">
        <v>22</v>
      </c>
      <c r="C31" s="51"/>
      <c r="D31" s="51"/>
      <c r="E31" s="51"/>
      <c r="F31" s="51"/>
      <c r="G31" s="51"/>
      <c r="H31" s="26">
        <f t="shared" si="0"/>
        <v>0</v>
      </c>
      <c r="I31" s="51"/>
      <c r="J31" s="51"/>
      <c r="L31" s="51">
        <v>22</v>
      </c>
      <c r="M31" s="51"/>
      <c r="N31" s="51">
        <v>0</v>
      </c>
      <c r="O31" s="51">
        <v>0</v>
      </c>
      <c r="P31" s="76" t="e">
        <f t="shared" si="1"/>
        <v>#DIV/0!</v>
      </c>
    </row>
    <row r="32" spans="1:16" ht="15" customHeight="1">
      <c r="A32" s="2"/>
      <c r="B32" s="51">
        <v>23</v>
      </c>
      <c r="C32" s="51"/>
      <c r="D32" s="51"/>
      <c r="E32" s="51"/>
      <c r="F32" s="51"/>
      <c r="G32" s="51"/>
      <c r="H32" s="26">
        <f t="shared" si="0"/>
        <v>0</v>
      </c>
      <c r="I32" s="51"/>
      <c r="J32" s="51"/>
      <c r="L32" s="51">
        <v>23</v>
      </c>
      <c r="M32" s="51"/>
      <c r="N32" s="51">
        <v>0</v>
      </c>
      <c r="O32" s="51">
        <v>0</v>
      </c>
      <c r="P32" s="76" t="e">
        <f t="shared" si="1"/>
        <v>#DIV/0!</v>
      </c>
    </row>
    <row r="33" spans="2:16" ht="15" customHeight="1">
      <c r="B33" s="51">
        <v>24</v>
      </c>
      <c r="C33" s="51"/>
      <c r="D33" s="51"/>
      <c r="E33" s="51"/>
      <c r="F33" s="51"/>
      <c r="G33" s="51"/>
      <c r="H33" s="26">
        <f t="shared" si="0"/>
        <v>0</v>
      </c>
      <c r="I33" s="51"/>
      <c r="J33" s="51"/>
      <c r="L33" s="51">
        <v>24</v>
      </c>
      <c r="M33" s="51"/>
      <c r="N33" s="51">
        <v>0</v>
      </c>
      <c r="O33" s="51">
        <v>0</v>
      </c>
      <c r="P33" s="76" t="e">
        <f t="shared" si="1"/>
        <v>#DIV/0!</v>
      </c>
    </row>
    <row r="34" spans="2:16" ht="15" customHeight="1">
      <c r="B34" s="51">
        <v>25</v>
      </c>
      <c r="C34" s="51"/>
      <c r="D34" s="51"/>
      <c r="E34" s="51"/>
      <c r="F34" s="51"/>
      <c r="G34" s="51"/>
      <c r="H34" s="26">
        <f t="shared" si="0"/>
        <v>0</v>
      </c>
      <c r="I34" s="51"/>
      <c r="J34" s="51"/>
      <c r="L34" s="51">
        <v>25</v>
      </c>
      <c r="M34" s="51"/>
      <c r="N34" s="51">
        <v>0</v>
      </c>
      <c r="O34" s="51">
        <v>0</v>
      </c>
      <c r="P34" s="76" t="e">
        <f t="shared" si="1"/>
        <v>#DIV/0!</v>
      </c>
    </row>
    <row r="35" spans="2:16" ht="15" customHeight="1">
      <c r="B35" s="51">
        <v>26</v>
      </c>
      <c r="C35" s="51"/>
      <c r="D35" s="51"/>
      <c r="E35" s="51"/>
      <c r="F35" s="51"/>
      <c r="G35" s="51"/>
      <c r="H35" s="26">
        <f t="shared" si="0"/>
        <v>0</v>
      </c>
      <c r="I35" s="51"/>
      <c r="J35" s="51"/>
      <c r="L35" s="51">
        <v>26</v>
      </c>
      <c r="M35" s="51"/>
      <c r="N35" s="51">
        <v>0</v>
      </c>
      <c r="O35" s="51">
        <v>0</v>
      </c>
      <c r="P35" s="76" t="e">
        <f t="shared" si="1"/>
        <v>#DIV/0!</v>
      </c>
    </row>
    <row r="36" spans="2:16" ht="15" customHeight="1">
      <c r="B36" s="51">
        <v>27</v>
      </c>
      <c r="C36" s="51"/>
      <c r="D36" s="51"/>
      <c r="E36" s="51"/>
      <c r="F36" s="51"/>
      <c r="G36" s="51"/>
      <c r="H36" s="26">
        <f t="shared" si="0"/>
        <v>0</v>
      </c>
      <c r="I36" s="51"/>
      <c r="J36" s="51"/>
      <c r="L36" s="51">
        <v>27</v>
      </c>
      <c r="M36" s="51"/>
      <c r="N36" s="51">
        <v>0</v>
      </c>
      <c r="O36" s="51">
        <v>0</v>
      </c>
      <c r="P36" s="76" t="e">
        <f t="shared" si="1"/>
        <v>#DIV/0!</v>
      </c>
    </row>
    <row r="37" spans="2:16" ht="15" customHeight="1">
      <c r="B37" s="51">
        <v>28</v>
      </c>
      <c r="C37" s="51"/>
      <c r="D37" s="51"/>
      <c r="E37" s="51"/>
      <c r="F37" s="51"/>
      <c r="G37" s="51"/>
      <c r="H37" s="26">
        <f t="shared" si="0"/>
        <v>0</v>
      </c>
      <c r="I37" s="51"/>
      <c r="J37" s="51"/>
      <c r="L37" s="51">
        <v>28</v>
      </c>
      <c r="M37" s="51"/>
      <c r="N37" s="51">
        <v>0</v>
      </c>
      <c r="O37" s="51">
        <v>0</v>
      </c>
      <c r="P37" s="76" t="e">
        <f t="shared" si="1"/>
        <v>#DIV/0!</v>
      </c>
    </row>
    <row r="38" spans="2:16" ht="15" customHeight="1">
      <c r="B38" s="51">
        <v>29</v>
      </c>
      <c r="C38" s="51"/>
      <c r="D38" s="51"/>
      <c r="E38" s="51"/>
      <c r="F38" s="51"/>
      <c r="G38" s="51"/>
      <c r="H38" s="26">
        <f t="shared" si="0"/>
        <v>0</v>
      </c>
      <c r="I38" s="51"/>
      <c r="J38" s="51"/>
      <c r="L38" s="51">
        <v>29</v>
      </c>
      <c r="M38" s="51"/>
      <c r="N38" s="51">
        <v>0</v>
      </c>
      <c r="O38" s="51">
        <v>0</v>
      </c>
      <c r="P38" s="76" t="e">
        <f t="shared" si="1"/>
        <v>#DIV/0!</v>
      </c>
    </row>
    <row r="39" spans="2:16" ht="15" customHeight="1">
      <c r="B39" s="51">
        <v>30</v>
      </c>
      <c r="C39" s="51"/>
      <c r="D39" s="51"/>
      <c r="E39" s="51"/>
      <c r="F39" s="51"/>
      <c r="G39" s="51"/>
      <c r="H39" s="26">
        <f t="shared" si="0"/>
        <v>0</v>
      </c>
      <c r="I39" s="51"/>
      <c r="J39" s="51"/>
      <c r="L39" s="51">
        <v>30</v>
      </c>
      <c r="M39" s="51"/>
      <c r="N39" s="51">
        <v>0</v>
      </c>
      <c r="O39" s="51">
        <v>0</v>
      </c>
      <c r="P39" s="76" t="e">
        <f t="shared" si="1"/>
        <v>#DIV/0!</v>
      </c>
    </row>
    <row r="40" spans="2:16" ht="15" customHeight="1">
      <c r="B40" s="51">
        <v>31</v>
      </c>
      <c r="C40" s="51"/>
      <c r="D40" s="51"/>
      <c r="E40" s="51"/>
      <c r="F40" s="51"/>
      <c r="G40" s="51"/>
      <c r="H40" s="26">
        <f t="shared" si="0"/>
        <v>0</v>
      </c>
      <c r="I40" s="51"/>
      <c r="J40" s="51"/>
      <c r="L40" s="51">
        <v>31</v>
      </c>
      <c r="M40" s="51"/>
      <c r="N40" s="51">
        <v>0</v>
      </c>
      <c r="O40" s="51">
        <v>0</v>
      </c>
      <c r="P40" s="76" t="e">
        <f t="shared" si="1"/>
        <v>#DIV/0!</v>
      </c>
    </row>
    <row r="41" spans="2:16" ht="15" customHeight="1">
      <c r="B41" s="51">
        <v>32</v>
      </c>
      <c r="C41" s="51"/>
      <c r="D41" s="51"/>
      <c r="E41" s="51"/>
      <c r="F41" s="51"/>
      <c r="G41" s="51"/>
      <c r="H41" s="26">
        <f t="shared" si="0"/>
        <v>0</v>
      </c>
      <c r="I41" s="51"/>
      <c r="J41" s="51"/>
      <c r="L41" s="51">
        <v>32</v>
      </c>
      <c r="M41" s="51"/>
      <c r="N41" s="51">
        <v>0</v>
      </c>
      <c r="O41" s="51">
        <v>0</v>
      </c>
      <c r="P41" s="76" t="e">
        <f t="shared" si="1"/>
        <v>#DIV/0!</v>
      </c>
    </row>
    <row r="42" spans="2:16" ht="15" customHeight="1">
      <c r="B42" s="51">
        <v>33</v>
      </c>
      <c r="C42" s="51"/>
      <c r="D42" s="51"/>
      <c r="E42" s="51"/>
      <c r="F42" s="51"/>
      <c r="G42" s="51"/>
      <c r="H42" s="26">
        <f t="shared" si="0"/>
        <v>0</v>
      </c>
      <c r="I42" s="51"/>
      <c r="J42" s="51"/>
      <c r="L42" s="51">
        <v>33</v>
      </c>
      <c r="M42" s="51"/>
      <c r="N42" s="51">
        <v>0</v>
      </c>
      <c r="O42" s="51">
        <v>0</v>
      </c>
      <c r="P42" s="76" t="e">
        <f t="shared" si="1"/>
        <v>#DIV/0!</v>
      </c>
    </row>
    <row r="43" spans="2:16" ht="15" customHeight="1">
      <c r="B43" s="51">
        <v>34</v>
      </c>
      <c r="C43" s="51"/>
      <c r="D43" s="51"/>
      <c r="E43" s="51"/>
      <c r="F43" s="51"/>
      <c r="G43" s="51"/>
      <c r="H43" s="26">
        <f t="shared" si="0"/>
        <v>0</v>
      </c>
      <c r="I43" s="51"/>
      <c r="J43" s="51"/>
      <c r="L43" s="51">
        <v>34</v>
      </c>
      <c r="M43" s="51"/>
      <c r="N43" s="51">
        <v>0</v>
      </c>
      <c r="O43" s="51">
        <v>0</v>
      </c>
      <c r="P43" s="76" t="e">
        <f t="shared" si="1"/>
        <v>#DIV/0!</v>
      </c>
    </row>
    <row r="44" spans="2:16" ht="15" customHeight="1">
      <c r="B44" s="51">
        <v>35</v>
      </c>
      <c r="C44" s="51"/>
      <c r="D44" s="51"/>
      <c r="E44" s="51"/>
      <c r="F44" s="51"/>
      <c r="G44" s="51"/>
      <c r="H44" s="26">
        <f t="shared" si="0"/>
        <v>0</v>
      </c>
      <c r="I44" s="51"/>
      <c r="J44" s="51"/>
      <c r="L44" s="51">
        <v>35</v>
      </c>
      <c r="M44" s="51"/>
      <c r="N44" s="51">
        <v>0</v>
      </c>
      <c r="O44" s="51">
        <v>0</v>
      </c>
      <c r="P44" s="76" t="e">
        <f t="shared" si="1"/>
        <v>#DIV/0!</v>
      </c>
    </row>
    <row r="45" spans="2:16" ht="15" customHeight="1">
      <c r="B45" s="51">
        <v>36</v>
      </c>
      <c r="C45" s="51"/>
      <c r="D45" s="51"/>
      <c r="E45" s="51"/>
      <c r="F45" s="51"/>
      <c r="G45" s="51"/>
      <c r="H45" s="26">
        <f t="shared" si="0"/>
        <v>0</v>
      </c>
      <c r="I45" s="51"/>
      <c r="J45" s="51"/>
      <c r="L45" s="51">
        <v>36</v>
      </c>
      <c r="M45" s="51"/>
      <c r="N45" s="51">
        <v>0</v>
      </c>
      <c r="O45" s="51">
        <v>0</v>
      </c>
      <c r="P45" s="76" t="e">
        <f t="shared" si="1"/>
        <v>#DIV/0!</v>
      </c>
    </row>
    <row r="46" spans="2:16" ht="15" customHeight="1">
      <c r="B46" s="51">
        <v>37</v>
      </c>
      <c r="C46" s="51"/>
      <c r="D46" s="51"/>
      <c r="E46" s="51"/>
      <c r="F46" s="51"/>
      <c r="G46" s="51"/>
      <c r="H46" s="26">
        <f t="shared" si="0"/>
        <v>0</v>
      </c>
      <c r="I46" s="51"/>
      <c r="J46" s="51"/>
      <c r="L46" s="51">
        <v>37</v>
      </c>
      <c r="M46" s="51"/>
      <c r="N46" s="51">
        <v>0</v>
      </c>
      <c r="O46" s="51">
        <v>0</v>
      </c>
      <c r="P46" s="76" t="e">
        <f t="shared" si="1"/>
        <v>#DIV/0!</v>
      </c>
    </row>
    <row r="47" spans="2:16" ht="15" customHeight="1">
      <c r="B47" s="51">
        <v>38</v>
      </c>
      <c r="C47" s="51"/>
      <c r="D47" s="51"/>
      <c r="E47" s="51"/>
      <c r="F47" s="51"/>
      <c r="G47" s="51"/>
      <c r="H47" s="26">
        <f t="shared" si="0"/>
        <v>0</v>
      </c>
      <c r="I47" s="51"/>
      <c r="J47" s="51"/>
      <c r="L47" s="51">
        <v>38</v>
      </c>
      <c r="M47" s="51"/>
      <c r="N47" s="51">
        <v>0</v>
      </c>
      <c r="O47" s="51">
        <v>0</v>
      </c>
      <c r="P47" s="76" t="e">
        <f t="shared" si="1"/>
        <v>#DIV/0!</v>
      </c>
    </row>
    <row r="48" spans="2:16" ht="15" customHeight="1">
      <c r="B48" s="51">
        <v>39</v>
      </c>
      <c r="C48" s="51"/>
      <c r="D48" s="51"/>
      <c r="E48" s="51"/>
      <c r="F48" s="51"/>
      <c r="G48" s="51"/>
      <c r="H48" s="26">
        <f t="shared" si="0"/>
        <v>0</v>
      </c>
      <c r="I48" s="51"/>
      <c r="J48" s="51"/>
      <c r="L48" s="51">
        <v>39</v>
      </c>
      <c r="M48" s="51"/>
      <c r="N48" s="51">
        <v>0</v>
      </c>
      <c r="O48" s="51">
        <v>0</v>
      </c>
      <c r="P48" s="76" t="e">
        <f t="shared" si="1"/>
        <v>#DIV/0!</v>
      </c>
    </row>
    <row r="49" spans="1:16" ht="15" customHeight="1">
      <c r="B49" s="51">
        <v>40</v>
      </c>
      <c r="C49" s="51"/>
      <c r="D49" s="51"/>
      <c r="E49" s="51"/>
      <c r="F49" s="51"/>
      <c r="G49" s="51"/>
      <c r="H49" s="26">
        <f t="shared" si="0"/>
        <v>0</v>
      </c>
      <c r="I49" s="51"/>
      <c r="J49" s="51"/>
      <c r="L49" s="51">
        <v>40</v>
      </c>
      <c r="M49" s="51"/>
      <c r="N49" s="51">
        <v>0</v>
      </c>
      <c r="O49" s="51">
        <v>0</v>
      </c>
      <c r="P49" s="76" t="e">
        <f>O49/N49</f>
        <v>#DIV/0!</v>
      </c>
    </row>
    <row r="50" spans="1:16">
      <c r="B50" s="918" t="s">
        <v>542</v>
      </c>
      <c r="C50" s="918"/>
      <c r="D50" s="918"/>
      <c r="E50" s="26">
        <f>SUM(E10:E49)</f>
        <v>0</v>
      </c>
      <c r="F50" s="25"/>
      <c r="G50" s="26">
        <f>SUM(G10:G49)</f>
        <v>0</v>
      </c>
      <c r="H50" s="25"/>
      <c r="I50" s="25"/>
      <c r="J50" s="25"/>
      <c r="L50" s="910" t="s">
        <v>542</v>
      </c>
      <c r="M50" s="911"/>
      <c r="N50" s="26">
        <f>SUM(N10:N49)</f>
        <v>0</v>
      </c>
      <c r="O50" s="25">
        <f>SUM(O10:O49)</f>
        <v>0</v>
      </c>
      <c r="P50" s="25"/>
    </row>
    <row r="51" spans="1:16" ht="17.399999999999999">
      <c r="B51" s="913"/>
      <c r="C51" s="913"/>
      <c r="D51" s="913"/>
      <c r="E51" s="7"/>
      <c r="F51" s="2"/>
      <c r="G51" s="913"/>
      <c r="H51" s="913"/>
      <c r="I51" s="913"/>
      <c r="J51" s="7"/>
    </row>
    <row r="52" spans="1:16" ht="17.399999999999999" customHeight="1">
      <c r="B52" s="59" t="s">
        <v>585</v>
      </c>
      <c r="C52" s="17"/>
      <c r="D52" s="17"/>
      <c r="E52" s="7"/>
      <c r="F52" s="2"/>
      <c r="G52" s="4"/>
      <c r="H52" s="4"/>
      <c r="I52" s="4"/>
      <c r="J52" s="27"/>
      <c r="L52" s="925" t="s">
        <v>940</v>
      </c>
      <c r="M52" s="925"/>
      <c r="N52" s="41" t="s">
        <v>622</v>
      </c>
      <c r="O52" s="43"/>
      <c r="P52" s="43" t="s">
        <v>829</v>
      </c>
    </row>
    <row r="53" spans="1:16" s="18" customFormat="1" ht="30" customHeight="1">
      <c r="B53" s="921" t="s">
        <v>1072</v>
      </c>
      <c r="C53" s="921"/>
      <c r="D53" s="921"/>
      <c r="E53" s="921"/>
      <c r="F53" s="921"/>
      <c r="G53" s="921"/>
      <c r="H53" s="921"/>
      <c r="I53" s="921"/>
      <c r="J53" s="921"/>
      <c r="L53" s="922" t="s">
        <v>1069</v>
      </c>
      <c r="M53" s="922"/>
      <c r="N53" s="77" t="s">
        <v>167</v>
      </c>
      <c r="O53" s="55"/>
      <c r="P53" s="56">
        <f>O50</f>
        <v>0</v>
      </c>
    </row>
    <row r="54" spans="1:16" s="18" customFormat="1" ht="30" customHeight="1">
      <c r="B54" s="921" t="s">
        <v>1073</v>
      </c>
      <c r="C54" s="921"/>
      <c r="D54" s="921"/>
      <c r="E54" s="921"/>
      <c r="F54" s="921"/>
      <c r="G54" s="921"/>
      <c r="H54" s="921"/>
      <c r="I54" s="921"/>
      <c r="J54" s="921"/>
      <c r="L54" s="922" t="s">
        <v>1070</v>
      </c>
      <c r="M54" s="922"/>
      <c r="N54" s="77" t="s">
        <v>167</v>
      </c>
      <c r="O54" s="55"/>
      <c r="P54" s="56">
        <f>N50</f>
        <v>0</v>
      </c>
    </row>
    <row r="55" spans="1:16" s="18" customFormat="1" ht="30" customHeight="1">
      <c r="B55" s="921" t="s">
        <v>1074</v>
      </c>
      <c r="C55" s="921"/>
      <c r="D55" s="921"/>
      <c r="E55" s="921"/>
      <c r="F55" s="921"/>
      <c r="G55" s="921"/>
      <c r="H55" s="921"/>
      <c r="I55" s="921"/>
      <c r="J55" s="921"/>
      <c r="L55" s="922" t="s">
        <v>1071</v>
      </c>
      <c r="M55" s="922"/>
      <c r="N55" s="77" t="s">
        <v>170</v>
      </c>
      <c r="O55" s="58"/>
      <c r="P55" s="58">
        <f>IFERROR(P53/P54,0)</f>
        <v>0</v>
      </c>
    </row>
    <row r="56" spans="1:16" ht="44.4" customHeight="1">
      <c r="B56" s="921" t="s">
        <v>1075</v>
      </c>
      <c r="C56" s="921"/>
      <c r="D56" s="921"/>
      <c r="E56" s="921"/>
      <c r="F56" s="921"/>
      <c r="G56" s="921"/>
      <c r="H56" s="921"/>
      <c r="I56" s="921"/>
      <c r="J56" s="921"/>
      <c r="L56" s="747" t="s">
        <v>329</v>
      </c>
      <c r="M56" s="585" t="s">
        <v>1680</v>
      </c>
      <c r="N56" s="585"/>
      <c r="O56" s="1005" t="s">
        <v>6</v>
      </c>
      <c r="P56" s="1006" t="str">
        <f>IF(OR(AND(P54&gt;100,P55&gt;12%),AND(P54&lt;100,P55&gt;8%)),"Compliant","")</f>
        <v/>
      </c>
    </row>
    <row r="57" spans="1:16" ht="46.8" customHeight="1">
      <c r="B57" s="1007"/>
      <c r="C57" s="1007"/>
      <c r="D57" s="1007"/>
      <c r="E57" s="1007"/>
      <c r="F57" s="1007"/>
      <c r="G57" s="1007"/>
      <c r="H57" s="1007"/>
      <c r="I57" s="1007"/>
      <c r="J57" s="1007"/>
      <c r="L57" s="747"/>
      <c r="M57" s="585" t="s">
        <v>1681</v>
      </c>
      <c r="N57" s="585"/>
      <c r="O57" s="1005"/>
      <c r="P57" s="1006"/>
    </row>
    <row r="58" spans="1:16">
      <c r="B58" s="1007"/>
      <c r="C58" s="1007"/>
      <c r="D58" s="1007"/>
      <c r="E58" s="1007"/>
      <c r="F58" s="1007"/>
      <c r="G58" s="1007"/>
      <c r="H58" s="1007"/>
      <c r="I58" s="1007"/>
      <c r="J58" s="1007"/>
    </row>
    <row r="59" spans="1:16" ht="13.8" customHeight="1">
      <c r="B59" s="923" t="s">
        <v>146</v>
      </c>
      <c r="C59" s="923"/>
      <c r="D59" s="923"/>
      <c r="E59" s="923"/>
      <c r="F59" s="923"/>
      <c r="G59" s="923"/>
      <c r="H59" s="923"/>
      <c r="I59" s="923"/>
      <c r="J59" s="923"/>
      <c r="L59" s="923" t="s">
        <v>146</v>
      </c>
      <c r="M59" s="923"/>
      <c r="N59" s="923"/>
      <c r="O59" s="923"/>
      <c r="P59" s="923"/>
    </row>
    <row r="60" spans="1:16" ht="18" customHeight="1">
      <c r="B60" s="913" t="s">
        <v>1066</v>
      </c>
      <c r="C60" s="913"/>
      <c r="D60" s="913"/>
      <c r="E60" s="913"/>
      <c r="F60" s="913"/>
      <c r="G60" s="913"/>
      <c r="H60" s="913"/>
      <c r="I60" s="913"/>
      <c r="J60" s="913"/>
      <c r="L60" s="913" t="s">
        <v>1068</v>
      </c>
      <c r="M60" s="913"/>
      <c r="N60" s="913"/>
      <c r="O60" s="913"/>
      <c r="P60" s="913"/>
    </row>
    <row r="61" spans="1:16" ht="17.399999999999999" customHeight="1">
      <c r="A61" s="64"/>
      <c r="B61" s="580" t="s">
        <v>1076</v>
      </c>
      <c r="C61" s="580"/>
      <c r="D61" s="580"/>
      <c r="E61" s="580"/>
      <c r="F61" s="580"/>
      <c r="G61" s="580"/>
      <c r="H61" s="580"/>
      <c r="I61" s="580"/>
      <c r="J61" s="7" t="s">
        <v>139</v>
      </c>
      <c r="K61" s="64"/>
      <c r="L61" s="880" t="s">
        <v>1080</v>
      </c>
      <c r="M61" s="880"/>
      <c r="N61" s="880"/>
      <c r="O61" s="880"/>
      <c r="P61" s="7" t="s">
        <v>139</v>
      </c>
    </row>
    <row r="62" spans="1:16" ht="17.399999999999999" customHeight="1">
      <c r="A62" s="64"/>
      <c r="B62" s="880" t="s">
        <v>1077</v>
      </c>
      <c r="C62" s="880"/>
      <c r="D62" s="880"/>
      <c r="E62" s="880"/>
      <c r="F62" s="880"/>
      <c r="G62" s="880"/>
      <c r="H62" s="880"/>
      <c r="I62" s="880"/>
      <c r="J62" s="7" t="s">
        <v>139</v>
      </c>
      <c r="K62" s="64"/>
      <c r="L62" s="880" t="s">
        <v>1081</v>
      </c>
      <c r="M62" s="880"/>
      <c r="N62" s="880"/>
      <c r="O62" s="880"/>
      <c r="P62" s="7" t="s">
        <v>139</v>
      </c>
    </row>
    <row r="63" spans="1:16" ht="31.8" customHeight="1">
      <c r="A63" s="64"/>
      <c r="B63" s="880" t="s">
        <v>1078</v>
      </c>
      <c r="C63" s="880"/>
      <c r="D63" s="880"/>
      <c r="E63" s="880"/>
      <c r="F63" s="880"/>
      <c r="G63" s="880"/>
      <c r="H63" s="880"/>
      <c r="I63" s="880"/>
      <c r="J63" s="7" t="s">
        <v>139</v>
      </c>
      <c r="K63" s="64"/>
      <c r="L63" s="880" t="s">
        <v>1082</v>
      </c>
      <c r="M63" s="880"/>
      <c r="N63" s="880"/>
      <c r="O63" s="880"/>
      <c r="P63" s="7" t="s">
        <v>139</v>
      </c>
    </row>
    <row r="64" spans="1:16" ht="17.399999999999999" customHeight="1">
      <c r="A64" s="64"/>
      <c r="B64" s="880" t="s">
        <v>1079</v>
      </c>
      <c r="C64" s="880"/>
      <c r="D64" s="880"/>
      <c r="E64" s="880"/>
      <c r="F64" s="880"/>
      <c r="G64" s="880"/>
      <c r="H64" s="880"/>
      <c r="I64" s="880"/>
      <c r="J64" s="7" t="s">
        <v>139</v>
      </c>
      <c r="K64" s="64"/>
      <c r="L64" s="877" t="s">
        <v>147</v>
      </c>
      <c r="M64" s="877"/>
      <c r="N64" s="877"/>
      <c r="O64" s="877"/>
    </row>
    <row r="65" spans="1:11" ht="14.4">
      <c r="A65" s="64"/>
      <c r="B65" s="877" t="s">
        <v>147</v>
      </c>
      <c r="C65" s="877"/>
      <c r="D65" s="877"/>
      <c r="E65" s="877"/>
      <c r="K65" s="64"/>
    </row>
    <row r="66" spans="1:11" ht="14.4">
      <c r="A66" s="64"/>
      <c r="B66" s="3"/>
      <c r="C66" s="3"/>
      <c r="D66" s="3"/>
      <c r="E66" s="3"/>
      <c r="K66" s="64"/>
    </row>
    <row r="67" spans="1:11" ht="14.4">
      <c r="A67" s="64"/>
      <c r="B67" s="3"/>
      <c r="C67" s="3"/>
      <c r="D67" s="3"/>
      <c r="E67" s="3"/>
      <c r="K67" s="64"/>
    </row>
    <row r="68" spans="1:11" ht="14.4">
      <c r="A68" s="64"/>
      <c r="B68" s="3"/>
      <c r="C68" s="3"/>
      <c r="D68" s="3"/>
      <c r="E68" s="3"/>
    </row>
    <row r="69" spans="1:11">
      <c r="B69" s="3"/>
      <c r="C69" s="3"/>
      <c r="D69" s="3"/>
      <c r="E69" s="3"/>
    </row>
  </sheetData>
  <mergeCells count="46">
    <mergeCell ref="M56:N56"/>
    <mergeCell ref="B2:H2"/>
    <mergeCell ref="L60:P60"/>
    <mergeCell ref="L59:P59"/>
    <mergeCell ref="L61:O61"/>
    <mergeCell ref="L52:M52"/>
    <mergeCell ref="G51:I51"/>
    <mergeCell ref="B56:J56"/>
    <mergeCell ref="B51:D51"/>
    <mergeCell ref="K6:K8"/>
    <mergeCell ref="L56:L57"/>
    <mergeCell ref="O56:O57"/>
    <mergeCell ref="P56:P57"/>
    <mergeCell ref="M57:N57"/>
    <mergeCell ref="B57:J58"/>
    <mergeCell ref="L62:O62"/>
    <mergeCell ref="L63:O63"/>
    <mergeCell ref="B65:E65"/>
    <mergeCell ref="B53:J53"/>
    <mergeCell ref="B54:J54"/>
    <mergeCell ref="B55:J55"/>
    <mergeCell ref="L53:M53"/>
    <mergeCell ref="L54:M54"/>
    <mergeCell ref="L55:M55"/>
    <mergeCell ref="L64:O64"/>
    <mergeCell ref="B59:J59"/>
    <mergeCell ref="B60:J60"/>
    <mergeCell ref="B61:I61"/>
    <mergeCell ref="B62:I62"/>
    <mergeCell ref="B63:I63"/>
    <mergeCell ref="B64:I64"/>
    <mergeCell ref="O4:P4"/>
    <mergeCell ref="B1:H1"/>
    <mergeCell ref="I1:P1"/>
    <mergeCell ref="L50:M50"/>
    <mergeCell ref="L6:O6"/>
    <mergeCell ref="L7:O7"/>
    <mergeCell ref="L8:P8"/>
    <mergeCell ref="L5:P5"/>
    <mergeCell ref="K3:P3"/>
    <mergeCell ref="B3:J3"/>
    <mergeCell ref="B50:D50"/>
    <mergeCell ref="B8:J8"/>
    <mergeCell ref="B5:J5"/>
    <mergeCell ref="B6:I6"/>
    <mergeCell ref="B7:I7"/>
  </mergeCells>
  <conditionalFormatting sqref="B8:J56">
    <cfRule type="expression" dxfId="58" priority="7">
      <formula>$J$7&lt;&gt;"☑"</formula>
    </cfRule>
  </conditionalFormatting>
  <conditionalFormatting sqref="L8:P55">
    <cfRule type="expression" dxfId="57" priority="6">
      <formula>$P$7&lt;&gt;"☑"</formula>
    </cfRule>
  </conditionalFormatting>
  <conditionalFormatting sqref="L56 O56:P56">
    <cfRule type="expression" dxfId="2" priority="3">
      <formula>$P$7&lt;&gt;"☑"</formula>
    </cfRule>
  </conditionalFormatting>
  <conditionalFormatting sqref="M57:N57">
    <cfRule type="expression" dxfId="1" priority="2">
      <formula>$P$7&lt;&gt;"☑"</formula>
    </cfRule>
  </conditionalFormatting>
  <conditionalFormatting sqref="M56:N56">
    <cfRule type="expression" dxfId="0" priority="1">
      <formula>$P$7&lt;&gt;"☑"</formula>
    </cfRule>
  </conditionalFormatting>
  <dataValidations count="2">
    <dataValidation type="list" sqref="A1 J7 J61:J64 P61:P63 J9:J51 P7 E9:E52" xr:uid="{00000000-0002-0000-2A00-000000000000}">
      <formula1>"☐,☑"</formula1>
    </dataValidation>
    <dataValidation sqref="O53:P55" xr:uid="{D3B023FB-C6E7-48E6-A734-126B70D76F52}"/>
  </dataValidation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E27"/>
  <sheetViews>
    <sheetView workbookViewId="0">
      <selection activeCell="G10" sqref="G10"/>
    </sheetView>
  </sheetViews>
  <sheetFormatPr defaultRowHeight="13.8"/>
  <cols>
    <col min="1" max="1" width="6" style="93" customWidth="1"/>
    <col min="2" max="2" width="39" style="93" customWidth="1"/>
    <col min="3" max="3" width="26" style="93" customWidth="1"/>
    <col min="4" max="4" width="28.3984375" style="93" customWidth="1"/>
    <col min="5" max="5" width="22.69921875" style="93" customWidth="1"/>
    <col min="6" max="16384" width="8.796875" style="93"/>
  </cols>
  <sheetData>
    <row r="1" spans="1:5" ht="17.399999999999999">
      <c r="A1" s="91" t="s">
        <v>134</v>
      </c>
      <c r="B1" s="92" t="s">
        <v>163</v>
      </c>
      <c r="C1" s="92" t="s">
        <v>9</v>
      </c>
      <c r="D1" s="92" t="s">
        <v>317</v>
      </c>
      <c r="E1" s="92" t="s">
        <v>307</v>
      </c>
    </row>
    <row r="2" spans="1:5" ht="21">
      <c r="A2" s="94"/>
      <c r="B2" s="95" t="s">
        <v>94</v>
      </c>
      <c r="C2" s="95"/>
      <c r="D2" s="95"/>
      <c r="E2" s="95" t="s">
        <v>93</v>
      </c>
    </row>
    <row r="3" spans="1:5">
      <c r="A3" s="94"/>
      <c r="B3" s="635" t="s">
        <v>136</v>
      </c>
      <c r="C3" s="635"/>
      <c r="D3" s="636" t="str" cm="1">
        <f t="array" ref="D3">IF(AND(E8:E12="☑"),"COMPLIANT","PENDING")</f>
        <v>COMPLIANT</v>
      </c>
      <c r="E3" s="636"/>
    </row>
    <row r="4" spans="1:5" ht="15.6">
      <c r="A4" s="94"/>
      <c r="B4" s="96" t="s">
        <v>5</v>
      </c>
      <c r="C4" s="97"/>
      <c r="D4" s="97"/>
      <c r="E4" s="97" t="str">
        <f>HYPERLINK("#'Checklist'!A1","Go To Checklist")</f>
        <v>Go To Checklist</v>
      </c>
    </row>
    <row r="5" spans="1:5" ht="43.2" customHeight="1">
      <c r="A5" s="94"/>
      <c r="B5" s="533" t="s">
        <v>710</v>
      </c>
      <c r="C5" s="534"/>
      <c r="D5" s="534"/>
      <c r="E5" s="535"/>
    </row>
    <row r="6" spans="1:5" ht="15.6">
      <c r="A6" s="94"/>
      <c r="B6" s="562" t="s">
        <v>918</v>
      </c>
      <c r="C6" s="562"/>
      <c r="D6" s="562"/>
      <c r="E6" s="98" t="s">
        <v>137</v>
      </c>
    </row>
    <row r="7" spans="1:5" ht="30" customHeight="1">
      <c r="A7" s="94"/>
      <c r="B7" s="929" t="s">
        <v>365</v>
      </c>
      <c r="C7" s="929"/>
      <c r="D7" s="929"/>
      <c r="E7" s="929"/>
    </row>
    <row r="8" spans="1:5" ht="17.399999999999999" customHeight="1">
      <c r="A8" s="94"/>
      <c r="B8" s="927" t="s">
        <v>1083</v>
      </c>
      <c r="C8" s="927"/>
      <c r="D8" s="927"/>
      <c r="E8" s="205" t="s">
        <v>134</v>
      </c>
    </row>
    <row r="9" spans="1:5" ht="17.399999999999999" customHeight="1">
      <c r="A9" s="94"/>
      <c r="B9" s="927" t="s">
        <v>1084</v>
      </c>
      <c r="C9" s="927"/>
      <c r="D9" s="927"/>
      <c r="E9" s="205" t="s">
        <v>134</v>
      </c>
    </row>
    <row r="10" spans="1:5" ht="17.399999999999999" customHeight="1">
      <c r="A10" s="94"/>
      <c r="B10" s="927" t="s">
        <v>1085</v>
      </c>
      <c r="C10" s="927"/>
      <c r="D10" s="927"/>
      <c r="E10" s="205" t="s">
        <v>134</v>
      </c>
    </row>
    <row r="11" spans="1:5" ht="17.399999999999999" customHeight="1">
      <c r="A11" s="94"/>
      <c r="B11" s="927" t="s">
        <v>1086</v>
      </c>
      <c r="C11" s="927"/>
      <c r="D11" s="927"/>
      <c r="E11" s="205" t="s">
        <v>134</v>
      </c>
    </row>
    <row r="12" spans="1:5" ht="17.399999999999999" customHeight="1">
      <c r="A12" s="94"/>
      <c r="B12" s="928" t="s">
        <v>1087</v>
      </c>
      <c r="C12" s="928"/>
      <c r="D12" s="928"/>
      <c r="E12" s="205" t="s">
        <v>134</v>
      </c>
    </row>
    <row r="13" spans="1:5" ht="17.399999999999999">
      <c r="A13" s="94"/>
      <c r="B13" s="410" t="s">
        <v>585</v>
      </c>
      <c r="C13" s="105"/>
      <c r="D13" s="105"/>
      <c r="E13" s="101"/>
    </row>
    <row r="14" spans="1:5" ht="16.2" customHeight="1">
      <c r="A14" s="94"/>
      <c r="B14" s="560" t="s">
        <v>1088</v>
      </c>
      <c r="C14" s="560"/>
      <c r="D14" s="560"/>
      <c r="E14" s="560"/>
    </row>
    <row r="15" spans="1:5" ht="17.399999999999999" customHeight="1">
      <c r="A15" s="94"/>
      <c r="B15" s="560" t="s">
        <v>1089</v>
      </c>
      <c r="C15" s="560"/>
      <c r="D15" s="560"/>
      <c r="E15" s="560"/>
    </row>
    <row r="16" spans="1:5">
      <c r="A16" s="94"/>
      <c r="B16" s="97"/>
      <c r="C16" s="97"/>
      <c r="D16" s="97"/>
      <c r="E16" s="97"/>
    </row>
    <row r="17" spans="1:5">
      <c r="A17" s="94"/>
      <c r="B17" s="537" t="s">
        <v>146</v>
      </c>
      <c r="C17" s="537"/>
      <c r="D17" s="537"/>
      <c r="E17" s="537"/>
    </row>
    <row r="18" spans="1:5" ht="17.399999999999999" customHeight="1">
      <c r="A18" s="94"/>
      <c r="B18" s="538" t="s">
        <v>1090</v>
      </c>
      <c r="C18" s="538"/>
      <c r="D18" s="538"/>
      <c r="E18" s="101" t="s">
        <v>139</v>
      </c>
    </row>
    <row r="19" spans="1:5" ht="17.399999999999999" customHeight="1">
      <c r="A19" s="94"/>
      <c r="B19" s="538" t="s">
        <v>1091</v>
      </c>
      <c r="C19" s="538"/>
      <c r="D19" s="538"/>
      <c r="E19" s="101" t="s">
        <v>139</v>
      </c>
    </row>
    <row r="20" spans="1:5" ht="17.399999999999999" customHeight="1">
      <c r="A20" s="94"/>
      <c r="B20" s="538" t="s">
        <v>1092</v>
      </c>
      <c r="C20" s="538"/>
      <c r="D20" s="538"/>
      <c r="E20" s="101" t="s">
        <v>139</v>
      </c>
    </row>
    <row r="21" spans="1:5" ht="17.399999999999999" customHeight="1">
      <c r="A21" s="94"/>
      <c r="B21" s="538" t="s">
        <v>1093</v>
      </c>
      <c r="C21" s="538"/>
      <c r="D21" s="538"/>
      <c r="E21" s="101" t="s">
        <v>139</v>
      </c>
    </row>
    <row r="22" spans="1:5" ht="17.399999999999999" customHeight="1">
      <c r="A22" s="94"/>
      <c r="B22" s="538" t="s">
        <v>1094</v>
      </c>
      <c r="C22" s="538"/>
      <c r="D22" s="538"/>
      <c r="E22" s="101" t="s">
        <v>139</v>
      </c>
    </row>
    <row r="23" spans="1:5">
      <c r="A23" s="94"/>
      <c r="B23" s="531" t="s">
        <v>147</v>
      </c>
      <c r="C23" s="531"/>
      <c r="D23" s="531"/>
      <c r="E23" s="531"/>
    </row>
    <row r="24" spans="1:5">
      <c r="A24" s="94"/>
      <c r="B24" s="97"/>
      <c r="C24" s="97"/>
      <c r="D24" s="97"/>
      <c r="E24" s="97"/>
    </row>
    <row r="25" spans="1:5">
      <c r="A25" s="94"/>
      <c r="B25" s="97"/>
      <c r="C25" s="97"/>
      <c r="D25" s="97"/>
      <c r="E25" s="97"/>
    </row>
    <row r="26" spans="1:5">
      <c r="A26" s="94"/>
      <c r="B26" s="97"/>
      <c r="C26" s="97"/>
      <c r="D26" s="97"/>
      <c r="E26" s="97"/>
    </row>
    <row r="27" spans="1:5">
      <c r="A27" s="94"/>
      <c r="B27" s="97"/>
      <c r="C27" s="97"/>
      <c r="D27" s="97"/>
      <c r="E27" s="97"/>
    </row>
  </sheetData>
  <sheetProtection sheet="1" objects="1" scenarios="1"/>
  <mergeCells count="19">
    <mergeCell ref="B23:E23"/>
    <mergeCell ref="B19:D19"/>
    <mergeCell ref="B20:D20"/>
    <mergeCell ref="B21:D21"/>
    <mergeCell ref="B22:D22"/>
    <mergeCell ref="B3:C3"/>
    <mergeCell ref="D3:E3"/>
    <mergeCell ref="B5:E5"/>
    <mergeCell ref="B17:E17"/>
    <mergeCell ref="B18:D18"/>
    <mergeCell ref="B6:D6"/>
    <mergeCell ref="B8:D8"/>
    <mergeCell ref="B9:D9"/>
    <mergeCell ref="B10:D10"/>
    <mergeCell ref="B11:D11"/>
    <mergeCell ref="B12:D12"/>
    <mergeCell ref="B14:E14"/>
    <mergeCell ref="B15:E15"/>
    <mergeCell ref="B7:E7"/>
  </mergeCells>
  <conditionalFormatting sqref="D3">
    <cfRule type="expression" dxfId="56" priority="3">
      <formula>D3="COMPLIANT"</formula>
    </cfRule>
    <cfRule type="expression" dxfId="55" priority="4">
      <formula>D3="PENDING"</formula>
    </cfRule>
  </conditionalFormatting>
  <dataValidations count="1">
    <dataValidation type="list" sqref="A1 E18:E22 E8:E13" xr:uid="{00000000-0002-0000-2B00-000000000000}">
      <formula1>"☐,☑"</formula1>
    </dataValidation>
  </dataValidations>
  <pageMargins left="0.7" right="0.7" top="0.75" bottom="0.75" header="0.3" footer="0.3"/>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H61"/>
  <sheetViews>
    <sheetView topLeftCell="A19" zoomScale="80" zoomScaleNormal="80" workbookViewId="0">
      <selection activeCell="L28" sqref="L28"/>
    </sheetView>
  </sheetViews>
  <sheetFormatPr defaultRowHeight="13.8"/>
  <cols>
    <col min="1" max="1" width="14.796875" customWidth="1"/>
    <col min="2" max="2" width="18.09765625" customWidth="1"/>
    <col min="3" max="3" width="17.796875" customWidth="1"/>
    <col min="4" max="7" width="17.59765625" customWidth="1"/>
    <col min="8" max="8" width="14.796875" customWidth="1"/>
  </cols>
  <sheetData>
    <row r="1" spans="1:8" ht="17.399999999999999">
      <c r="A1" s="6" t="s">
        <v>134</v>
      </c>
      <c r="B1" s="908" t="s">
        <v>163</v>
      </c>
      <c r="C1" s="908"/>
      <c r="D1" s="816">
        <f>MAX(G13,H39)</f>
        <v>0</v>
      </c>
      <c r="E1" s="816"/>
      <c r="F1" s="908" t="s">
        <v>317</v>
      </c>
      <c r="G1" s="908"/>
      <c r="H1" s="4">
        <f>IF('Project Info'!$C$8="New Hotel",1,1)</f>
        <v>1</v>
      </c>
    </row>
    <row r="2" spans="1:8" ht="25.8" customHeight="1">
      <c r="A2" s="2"/>
      <c r="B2" s="924" t="s">
        <v>96</v>
      </c>
      <c r="C2" s="924"/>
      <c r="D2" s="5"/>
      <c r="E2" s="5"/>
      <c r="F2" s="5"/>
      <c r="G2" s="5"/>
      <c r="H2" s="5" t="s">
        <v>95</v>
      </c>
    </row>
    <row r="3" spans="1:8" ht="15.6">
      <c r="A3" s="2"/>
      <c r="B3" s="16" t="s">
        <v>5</v>
      </c>
      <c r="C3" s="3"/>
      <c r="D3" s="3"/>
      <c r="E3" s="3"/>
      <c r="F3" s="3"/>
      <c r="G3" s="3"/>
      <c r="H3" s="3" t="str">
        <f>HYPERLINK("#'Checklist'!A1","Go To Checklist")</f>
        <v>Go To Checklist</v>
      </c>
    </row>
    <row r="4" spans="1:8" ht="49.2" customHeight="1">
      <c r="A4" s="2"/>
      <c r="B4" s="882" t="s">
        <v>710</v>
      </c>
      <c r="C4" s="883"/>
      <c r="D4" s="883"/>
      <c r="E4" s="883"/>
      <c r="F4" s="883"/>
      <c r="G4" s="883"/>
      <c r="H4" s="884"/>
    </row>
    <row r="5" spans="1:8" ht="15.6" customHeight="1">
      <c r="A5" s="2"/>
      <c r="B5" s="940" t="s">
        <v>918</v>
      </c>
      <c r="C5" s="940"/>
      <c r="D5" s="940"/>
      <c r="E5" s="940"/>
      <c r="F5" s="940"/>
      <c r="G5" s="940"/>
      <c r="H5" s="940"/>
    </row>
    <row r="6" spans="1:8" ht="15.6" customHeight="1">
      <c r="A6" s="2"/>
      <c r="B6" s="939" t="s">
        <v>1095</v>
      </c>
      <c r="C6" s="939"/>
      <c r="D6" s="939"/>
      <c r="E6" s="939"/>
      <c r="F6" s="939"/>
      <c r="G6" s="939"/>
      <c r="H6" s="939"/>
    </row>
    <row r="7" spans="1:8" ht="15.6" customHeight="1">
      <c r="A7" s="2"/>
      <c r="B7" s="885" t="s">
        <v>1096</v>
      </c>
      <c r="C7" s="885"/>
      <c r="D7" s="885"/>
      <c r="E7" s="885"/>
      <c r="F7" s="885"/>
      <c r="G7" s="885"/>
      <c r="H7" s="37" t="s">
        <v>134</v>
      </c>
    </row>
    <row r="8" spans="1:8" ht="28.8" customHeight="1">
      <c r="A8" s="2"/>
      <c r="B8" s="891" t="s">
        <v>1364</v>
      </c>
      <c r="C8" s="891"/>
      <c r="D8" s="891"/>
      <c r="E8" s="891"/>
      <c r="F8" s="891"/>
      <c r="G8" s="891"/>
      <c r="H8" s="891"/>
    </row>
    <row r="9" spans="1:8">
      <c r="A9" s="2"/>
      <c r="B9" s="41" t="s">
        <v>940</v>
      </c>
      <c r="C9" s="941" t="s">
        <v>622</v>
      </c>
      <c r="D9" s="941"/>
      <c r="E9" s="1001" t="s">
        <v>622</v>
      </c>
      <c r="F9" s="1001"/>
      <c r="G9" s="1001"/>
      <c r="H9" s="43" t="s">
        <v>829</v>
      </c>
    </row>
    <row r="10" spans="1:8" ht="19.95" customHeight="1">
      <c r="A10" s="2"/>
      <c r="B10" s="879" t="s">
        <v>366</v>
      </c>
      <c r="C10" s="879"/>
      <c r="D10" s="879"/>
      <c r="E10" s="1002" t="s">
        <v>167</v>
      </c>
      <c r="F10" s="1003"/>
      <c r="G10" s="1004"/>
      <c r="H10" s="998"/>
    </row>
    <row r="11" spans="1:8" ht="19.95" customHeight="1">
      <c r="A11" s="2"/>
      <c r="B11" s="879" t="s">
        <v>367</v>
      </c>
      <c r="C11" s="879"/>
      <c r="D11" s="879"/>
      <c r="E11" s="1002" t="s">
        <v>167</v>
      </c>
      <c r="F11" s="1003"/>
      <c r="G11" s="1004"/>
      <c r="H11" s="998"/>
    </row>
    <row r="12" spans="1:8" ht="19.95" customHeight="1">
      <c r="A12" s="2"/>
      <c r="B12" s="879" t="s">
        <v>169</v>
      </c>
      <c r="C12" s="879"/>
      <c r="D12" s="879"/>
      <c r="E12" s="1002" t="s">
        <v>170</v>
      </c>
      <c r="F12" s="1003"/>
      <c r="G12" s="1004"/>
      <c r="H12" s="1000">
        <f>IFERROR(H11/H10,0)</f>
        <v>0</v>
      </c>
    </row>
    <row r="13" spans="1:8" ht="30" customHeight="1">
      <c r="A13" s="2"/>
      <c r="B13" s="33" t="s">
        <v>329</v>
      </c>
      <c r="C13" s="580" t="s">
        <v>1204</v>
      </c>
      <c r="D13" s="580"/>
      <c r="E13" s="580"/>
      <c r="F13" s="45" t="s">
        <v>6</v>
      </c>
      <c r="G13" s="578">
        <f>IF(AND(H12&lt;&gt;"",H12&gt;=50%),1,0)</f>
        <v>0</v>
      </c>
      <c r="H13" s="578"/>
    </row>
    <row r="14" spans="1:8">
      <c r="A14" s="2"/>
      <c r="B14" s="931" t="s">
        <v>816</v>
      </c>
      <c r="C14" s="931"/>
      <c r="D14" s="931"/>
      <c r="E14" s="931"/>
      <c r="F14" s="931"/>
      <c r="G14" s="931"/>
      <c r="H14" s="931"/>
    </row>
    <row r="15" spans="1:8" ht="15.6" customHeight="1">
      <c r="A15" s="2"/>
      <c r="B15" s="885" t="s">
        <v>1099</v>
      </c>
      <c r="C15" s="885"/>
      <c r="D15" s="885"/>
      <c r="E15" s="885"/>
      <c r="F15" s="885"/>
      <c r="G15" s="885"/>
      <c r="H15" s="37" t="s">
        <v>134</v>
      </c>
    </row>
    <row r="16" spans="1:8" ht="31.8" customHeight="1">
      <c r="A16" s="2"/>
      <c r="B16" s="891" t="s">
        <v>1098</v>
      </c>
      <c r="C16" s="891"/>
      <c r="D16" s="891"/>
      <c r="E16" s="891"/>
      <c r="F16" s="891"/>
      <c r="G16" s="891"/>
      <c r="H16" s="891"/>
    </row>
    <row r="17" spans="1:8" ht="33" customHeight="1">
      <c r="A17" s="2"/>
      <c r="B17" s="938" t="s">
        <v>1097</v>
      </c>
      <c r="C17" s="938"/>
      <c r="D17" s="938"/>
      <c r="E17" s="938"/>
      <c r="F17" s="938"/>
      <c r="G17" s="938"/>
      <c r="H17" s="938"/>
    </row>
    <row r="18" spans="1:8" ht="69" customHeight="1">
      <c r="A18" s="2"/>
      <c r="B18" s="935" t="s">
        <v>1596</v>
      </c>
      <c r="C18" s="935" t="s">
        <v>1597</v>
      </c>
      <c r="D18" s="932" t="s">
        <v>1598</v>
      </c>
      <c r="E18" s="933"/>
      <c r="F18" s="934"/>
      <c r="G18" s="935" t="s">
        <v>1599</v>
      </c>
      <c r="H18" s="935" t="s">
        <v>1600</v>
      </c>
    </row>
    <row r="19" spans="1:8" ht="16.8" customHeight="1">
      <c r="A19" s="2"/>
      <c r="B19" s="936"/>
      <c r="C19" s="936"/>
      <c r="D19" s="78">
        <v>0.875</v>
      </c>
      <c r="E19" s="78">
        <v>0.5</v>
      </c>
      <c r="F19" s="78">
        <v>0.625</v>
      </c>
      <c r="G19" s="936"/>
      <c r="H19" s="936"/>
    </row>
    <row r="20" spans="1:8" ht="19.95" customHeight="1">
      <c r="A20" s="2"/>
      <c r="B20" s="51"/>
      <c r="C20" s="26"/>
      <c r="D20" s="51"/>
      <c r="E20" s="51"/>
      <c r="F20" s="51"/>
      <c r="G20" s="51"/>
      <c r="H20" s="26">
        <f>C20*G20</f>
        <v>0</v>
      </c>
    </row>
    <row r="21" spans="1:8" ht="19.95" customHeight="1">
      <c r="A21" s="2"/>
      <c r="B21" s="51"/>
      <c r="C21" s="26"/>
      <c r="D21" s="51"/>
      <c r="E21" s="51"/>
      <c r="F21" s="51"/>
      <c r="G21" s="51"/>
      <c r="H21" s="26">
        <f t="shared" ref="H21:H33" si="0">C21*G21</f>
        <v>0</v>
      </c>
    </row>
    <row r="22" spans="1:8" ht="19.95" customHeight="1">
      <c r="A22" s="2"/>
      <c r="B22" s="51"/>
      <c r="C22" s="26"/>
      <c r="D22" s="51"/>
      <c r="E22" s="51"/>
      <c r="F22" s="51"/>
      <c r="G22" s="51"/>
      <c r="H22" s="26">
        <f t="shared" si="0"/>
        <v>0</v>
      </c>
    </row>
    <row r="23" spans="1:8" ht="19.95" customHeight="1">
      <c r="A23" s="2"/>
      <c r="B23" s="51"/>
      <c r="C23" s="26"/>
      <c r="D23" s="51"/>
      <c r="E23" s="51"/>
      <c r="F23" s="51"/>
      <c r="G23" s="51"/>
      <c r="H23" s="26">
        <f t="shared" si="0"/>
        <v>0</v>
      </c>
    </row>
    <row r="24" spans="1:8" ht="19.95" customHeight="1">
      <c r="B24" s="51"/>
      <c r="C24" s="26"/>
      <c r="D24" s="51"/>
      <c r="E24" s="51"/>
      <c r="F24" s="51"/>
      <c r="G24" s="51"/>
      <c r="H24" s="26">
        <f t="shared" si="0"/>
        <v>0</v>
      </c>
    </row>
    <row r="25" spans="1:8" ht="19.95" customHeight="1">
      <c r="B25" s="51"/>
      <c r="C25" s="26"/>
      <c r="D25" s="51"/>
      <c r="E25" s="51"/>
      <c r="F25" s="51"/>
      <c r="G25" s="51"/>
      <c r="H25" s="26">
        <f t="shared" si="0"/>
        <v>0</v>
      </c>
    </row>
    <row r="26" spans="1:8" ht="19.95" customHeight="1">
      <c r="B26" s="51"/>
      <c r="C26" s="26"/>
      <c r="D26" s="51"/>
      <c r="E26" s="51"/>
      <c r="F26" s="51"/>
      <c r="G26" s="51"/>
      <c r="H26" s="26">
        <f t="shared" si="0"/>
        <v>0</v>
      </c>
    </row>
    <row r="27" spans="1:8" ht="19.95" customHeight="1">
      <c r="B27" s="51"/>
      <c r="C27" s="26"/>
      <c r="D27" s="51"/>
      <c r="E27" s="51"/>
      <c r="F27" s="51"/>
      <c r="G27" s="51"/>
      <c r="H27" s="26">
        <f t="shared" si="0"/>
        <v>0</v>
      </c>
    </row>
    <row r="28" spans="1:8" ht="19.95" customHeight="1">
      <c r="B28" s="51"/>
      <c r="C28" s="26"/>
      <c r="D28" s="51"/>
      <c r="E28" s="51"/>
      <c r="F28" s="51"/>
      <c r="G28" s="51"/>
      <c r="H28" s="26">
        <f t="shared" si="0"/>
        <v>0</v>
      </c>
    </row>
    <row r="29" spans="1:8" ht="19.95" customHeight="1">
      <c r="B29" s="51"/>
      <c r="C29" s="26"/>
      <c r="D29" s="51"/>
      <c r="E29" s="51"/>
      <c r="F29" s="51"/>
      <c r="G29" s="51"/>
      <c r="H29" s="26">
        <f t="shared" si="0"/>
        <v>0</v>
      </c>
    </row>
    <row r="30" spans="1:8" ht="19.95" customHeight="1">
      <c r="B30" s="51"/>
      <c r="C30" s="26"/>
      <c r="D30" s="51"/>
      <c r="E30" s="51"/>
      <c r="F30" s="51"/>
      <c r="G30" s="51"/>
      <c r="H30" s="26">
        <f t="shared" si="0"/>
        <v>0</v>
      </c>
    </row>
    <row r="31" spans="1:8" ht="19.95" customHeight="1">
      <c r="B31" s="51"/>
      <c r="C31" s="26"/>
      <c r="D31" s="51"/>
      <c r="E31" s="51"/>
      <c r="F31" s="51"/>
      <c r="G31" s="51"/>
      <c r="H31" s="26">
        <f t="shared" si="0"/>
        <v>0</v>
      </c>
    </row>
    <row r="32" spans="1:8" ht="19.95" customHeight="1">
      <c r="B32" s="51"/>
      <c r="C32" s="26"/>
      <c r="D32" s="51"/>
      <c r="E32" s="51"/>
      <c r="F32" s="51"/>
      <c r="G32" s="51"/>
      <c r="H32" s="26">
        <f t="shared" si="0"/>
        <v>0</v>
      </c>
    </row>
    <row r="33" spans="1:8" ht="19.95" customHeight="1">
      <c r="B33" s="51"/>
      <c r="C33" s="26"/>
      <c r="D33" s="51"/>
      <c r="E33" s="51"/>
      <c r="F33" s="51"/>
      <c r="G33" s="51"/>
      <c r="H33" s="26">
        <f t="shared" si="0"/>
        <v>0</v>
      </c>
    </row>
    <row r="34" spans="1:8" ht="18.600000000000001" customHeight="1">
      <c r="B34" s="51" t="s">
        <v>542</v>
      </c>
      <c r="C34" s="26">
        <f>SUM(C20:C33)</f>
        <v>0</v>
      </c>
      <c r="D34" s="51"/>
      <c r="E34" s="937" t="s">
        <v>542</v>
      </c>
      <c r="F34" s="937"/>
      <c r="G34" s="937"/>
      <c r="H34" s="26">
        <f>SUM(H20:INDEX(H:H,MATCH("Total",B:B,0)-1))</f>
        <v>0</v>
      </c>
    </row>
    <row r="35" spans="1:8" ht="17.399999999999999" customHeight="1">
      <c r="B35" s="925" t="s">
        <v>940</v>
      </c>
      <c r="C35" s="925"/>
      <c r="D35" s="925"/>
      <c r="E35" s="941" t="s">
        <v>622</v>
      </c>
      <c r="F35" s="941"/>
      <c r="G35" s="41"/>
      <c r="H35" s="43" t="s">
        <v>829</v>
      </c>
    </row>
    <row r="36" spans="1:8" ht="17.399999999999999" customHeight="1">
      <c r="B36" s="879" t="s">
        <v>1070</v>
      </c>
      <c r="C36" s="879"/>
      <c r="D36" s="879"/>
      <c r="E36" s="996" t="s">
        <v>167</v>
      </c>
      <c r="F36" s="996"/>
      <c r="G36" s="997"/>
      <c r="H36" s="998">
        <f>C34</f>
        <v>0</v>
      </c>
    </row>
    <row r="37" spans="1:8" ht="19.2" customHeight="1">
      <c r="B37" s="879" t="s">
        <v>1601</v>
      </c>
      <c r="C37" s="879"/>
      <c r="D37" s="879"/>
      <c r="E37" s="996" t="s">
        <v>167</v>
      </c>
      <c r="F37" s="996"/>
      <c r="G37" s="997"/>
      <c r="H37" s="998">
        <f>H34</f>
        <v>0</v>
      </c>
    </row>
    <row r="38" spans="1:8" ht="17.399999999999999" customHeight="1">
      <c r="B38" s="879" t="s">
        <v>169</v>
      </c>
      <c r="C38" s="879"/>
      <c r="D38" s="879"/>
      <c r="E38" s="996" t="s">
        <v>170</v>
      </c>
      <c r="F38" s="996"/>
      <c r="G38" s="997"/>
      <c r="H38" s="999">
        <f>IFERROR(H37/H36,0)</f>
        <v>0</v>
      </c>
    </row>
    <row r="39" spans="1:8">
      <c r="B39" s="945" t="s">
        <v>329</v>
      </c>
      <c r="C39" s="945"/>
      <c r="D39" s="580" t="s">
        <v>1595</v>
      </c>
      <c r="E39" s="580"/>
      <c r="F39" s="944" t="s">
        <v>6</v>
      </c>
      <c r="G39" s="944"/>
      <c r="H39" s="14">
        <f>IF(AND(H38&lt;&gt;"",H38&gt;=50%),1,0)</f>
        <v>0</v>
      </c>
    </row>
    <row r="40" spans="1:8" ht="13.8" customHeight="1">
      <c r="B40" s="943" t="s">
        <v>96</v>
      </c>
      <c r="C40" s="943"/>
      <c r="D40" s="11" t="s">
        <v>189</v>
      </c>
      <c r="E40" s="11"/>
      <c r="F40" s="11"/>
      <c r="G40" s="11"/>
      <c r="H40" s="8">
        <f>C1</f>
        <v>0</v>
      </c>
    </row>
    <row r="41" spans="1:8" ht="14.4" customHeight="1">
      <c r="B41" s="3"/>
      <c r="C41" s="3"/>
      <c r="D41" s="3"/>
      <c r="E41" s="3"/>
      <c r="F41" s="3"/>
      <c r="G41" s="3"/>
      <c r="H41" s="3"/>
    </row>
    <row r="42" spans="1:8" ht="17.399999999999999" customHeight="1">
      <c r="A42" s="65"/>
      <c r="B42" s="942" t="s">
        <v>146</v>
      </c>
      <c r="C42" s="942"/>
      <c r="D42" s="942"/>
      <c r="E42" s="942"/>
      <c r="F42" s="942"/>
      <c r="G42" s="942"/>
      <c r="H42" s="942"/>
    </row>
    <row r="43" spans="1:8" ht="17.399999999999999" customHeight="1">
      <c r="A43" s="65"/>
      <c r="B43" s="913" t="s">
        <v>1096</v>
      </c>
      <c r="C43" s="913"/>
      <c r="D43" s="913"/>
      <c r="E43" s="4"/>
      <c r="F43" s="4"/>
      <c r="G43" s="4"/>
      <c r="H43" s="4"/>
    </row>
    <row r="44" spans="1:8" ht="17.399999999999999" customHeight="1">
      <c r="A44" s="65"/>
      <c r="B44" s="880" t="s">
        <v>1100</v>
      </c>
      <c r="C44" s="880"/>
      <c r="D44" s="880"/>
      <c r="E44" s="880"/>
      <c r="F44" s="880"/>
      <c r="G44" s="880"/>
      <c r="H44" s="7" t="s">
        <v>139</v>
      </c>
    </row>
    <row r="45" spans="1:8" ht="17.399999999999999" customHeight="1">
      <c r="A45" s="65"/>
      <c r="B45" s="880" t="s">
        <v>1101</v>
      </c>
      <c r="C45" s="880"/>
      <c r="D45" s="880"/>
      <c r="E45" s="880"/>
      <c r="F45" s="880"/>
      <c r="G45" s="880"/>
      <c r="H45" s="7" t="s">
        <v>139</v>
      </c>
    </row>
    <row r="46" spans="1:8" ht="17.399999999999999" customHeight="1">
      <c r="A46" s="65"/>
      <c r="B46" s="880" t="s">
        <v>1102</v>
      </c>
      <c r="C46" s="880"/>
      <c r="D46" s="880"/>
      <c r="E46" s="880"/>
      <c r="F46" s="880"/>
      <c r="G46" s="880"/>
      <c r="H46" s="7" t="s">
        <v>139</v>
      </c>
    </row>
    <row r="47" spans="1:8" ht="17.399999999999999" customHeight="1">
      <c r="A47" s="65"/>
      <c r="B47" s="880" t="s">
        <v>1103</v>
      </c>
      <c r="C47" s="880"/>
      <c r="D47" s="880"/>
      <c r="E47" s="880"/>
      <c r="F47" s="880"/>
      <c r="G47" s="880"/>
      <c r="H47" s="7" t="s">
        <v>139</v>
      </c>
    </row>
    <row r="48" spans="1:8" ht="18" customHeight="1">
      <c r="A48" s="65"/>
      <c r="B48" s="880" t="s">
        <v>1104</v>
      </c>
      <c r="C48" s="880"/>
      <c r="D48" s="880"/>
      <c r="E48" s="880"/>
      <c r="F48" s="880"/>
      <c r="G48" s="880"/>
      <c r="H48" s="7" t="s">
        <v>139</v>
      </c>
    </row>
    <row r="49" spans="1:8" ht="17.399999999999999" customHeight="1">
      <c r="A49" s="65"/>
      <c r="B49" s="880" t="s">
        <v>1105</v>
      </c>
      <c r="C49" s="880"/>
      <c r="D49" s="880"/>
      <c r="E49" s="880"/>
      <c r="F49" s="880"/>
      <c r="G49" s="880"/>
      <c r="H49" s="7" t="s">
        <v>139</v>
      </c>
    </row>
    <row r="50" spans="1:8" ht="17.399999999999999" customHeight="1">
      <c r="A50" s="65"/>
      <c r="B50" s="913" t="s">
        <v>1099</v>
      </c>
      <c r="C50" s="913"/>
      <c r="D50" s="913"/>
      <c r="E50" s="19"/>
      <c r="F50" s="19"/>
      <c r="G50" s="19"/>
      <c r="H50" s="7"/>
    </row>
    <row r="51" spans="1:8" ht="17.399999999999999" customHeight="1">
      <c r="A51" s="65"/>
      <c r="B51" s="580" t="s">
        <v>1106</v>
      </c>
      <c r="C51" s="580"/>
      <c r="D51" s="580"/>
      <c r="E51" s="580"/>
      <c r="F51" s="580"/>
      <c r="G51" s="580"/>
      <c r="H51" s="7" t="s">
        <v>139</v>
      </c>
    </row>
    <row r="52" spans="1:8" ht="17.399999999999999" customHeight="1">
      <c r="A52" s="65"/>
      <c r="B52" s="880" t="s">
        <v>1101</v>
      </c>
      <c r="C52" s="880"/>
      <c r="D52" s="880"/>
      <c r="E52" s="880"/>
      <c r="F52" s="880"/>
      <c r="G52" s="880"/>
      <c r="H52" s="7" t="s">
        <v>139</v>
      </c>
    </row>
    <row r="53" spans="1:8" ht="17.399999999999999" customHeight="1">
      <c r="A53" s="65"/>
      <c r="B53" s="880" t="s">
        <v>1102</v>
      </c>
      <c r="C53" s="880"/>
      <c r="D53" s="880"/>
      <c r="E53" s="880"/>
      <c r="F53" s="880"/>
      <c r="G53" s="880"/>
      <c r="H53" s="7" t="s">
        <v>139</v>
      </c>
    </row>
    <row r="54" spans="1:8" ht="14.4" customHeight="1">
      <c r="A54" s="65"/>
      <c r="B54" s="880" t="s">
        <v>1103</v>
      </c>
      <c r="C54" s="880"/>
      <c r="D54" s="880"/>
      <c r="E54" s="880"/>
      <c r="F54" s="880"/>
      <c r="G54" s="880"/>
      <c r="H54" s="7" t="s">
        <v>139</v>
      </c>
    </row>
    <row r="55" spans="1:8" ht="17.399999999999999">
      <c r="A55" s="65"/>
      <c r="B55" s="880" t="s">
        <v>1105</v>
      </c>
      <c r="C55" s="880"/>
      <c r="D55" s="880"/>
      <c r="E55" s="880"/>
      <c r="F55" s="880"/>
      <c r="G55" s="880"/>
      <c r="H55" s="7" t="s">
        <v>139</v>
      </c>
    </row>
    <row r="56" spans="1:8" ht="14.4">
      <c r="A56" s="65"/>
      <c r="B56" s="877" t="s">
        <v>147</v>
      </c>
      <c r="C56" s="877"/>
      <c r="D56" s="877"/>
      <c r="E56" s="877"/>
      <c r="F56" s="877"/>
      <c r="G56" s="877"/>
      <c r="H56" s="877"/>
    </row>
    <row r="57" spans="1:8" ht="14.4">
      <c r="A57" s="65"/>
      <c r="B57" s="3"/>
      <c r="C57" s="3"/>
      <c r="D57" s="3"/>
      <c r="E57" s="3"/>
      <c r="F57" s="3"/>
      <c r="G57" s="3"/>
      <c r="H57" s="3"/>
    </row>
    <row r="58" spans="1:8">
      <c r="B58" s="3"/>
      <c r="C58" s="3"/>
      <c r="D58" s="3"/>
      <c r="E58" s="3"/>
      <c r="F58" s="3"/>
      <c r="G58" s="3"/>
      <c r="H58" s="3"/>
    </row>
    <row r="59" spans="1:8">
      <c r="B59" s="3"/>
      <c r="C59" s="3"/>
      <c r="D59" s="3"/>
      <c r="E59" s="3"/>
      <c r="F59" s="3"/>
      <c r="G59" s="3"/>
      <c r="H59" s="3"/>
    </row>
    <row r="60" spans="1:8">
      <c r="B60" s="3"/>
      <c r="C60" s="3"/>
      <c r="D60" s="3"/>
      <c r="E60" s="3"/>
      <c r="F60" s="3"/>
      <c r="G60" s="3"/>
      <c r="H60" s="3"/>
    </row>
    <row r="61" spans="1:8">
      <c r="B61" s="3"/>
      <c r="C61" s="3"/>
      <c r="D61" s="3"/>
      <c r="E61" s="3"/>
      <c r="F61" s="3"/>
      <c r="G61" s="3"/>
      <c r="H61" s="3"/>
    </row>
  </sheetData>
  <mergeCells count="56">
    <mergeCell ref="E9:G9"/>
    <mergeCell ref="E10:G10"/>
    <mergeCell ref="E11:G11"/>
    <mergeCell ref="E12:G12"/>
    <mergeCell ref="B7:G7"/>
    <mergeCell ref="B15:G15"/>
    <mergeCell ref="F39:G39"/>
    <mergeCell ref="D39:E39"/>
    <mergeCell ref="B39:C39"/>
    <mergeCell ref="C9:D9"/>
    <mergeCell ref="E37:F37"/>
    <mergeCell ref="E38:F38"/>
    <mergeCell ref="E35:F35"/>
    <mergeCell ref="B36:D36"/>
    <mergeCell ref="B37:D37"/>
    <mergeCell ref="B38:D38"/>
    <mergeCell ref="B10:D10"/>
    <mergeCell ref="B42:H42"/>
    <mergeCell ref="B40:C40"/>
    <mergeCell ref="B54:G54"/>
    <mergeCell ref="B44:G44"/>
    <mergeCell ref="B45:G45"/>
    <mergeCell ref="B46:G46"/>
    <mergeCell ref="B47:G47"/>
    <mergeCell ref="B53:G53"/>
    <mergeCell ref="D1:E1"/>
    <mergeCell ref="B1:C1"/>
    <mergeCell ref="B2:C2"/>
    <mergeCell ref="B35:D35"/>
    <mergeCell ref="E34:G34"/>
    <mergeCell ref="B12:D12"/>
    <mergeCell ref="G13:H13"/>
    <mergeCell ref="C13:E13"/>
    <mergeCell ref="B17:H17"/>
    <mergeCell ref="B16:H16"/>
    <mergeCell ref="F1:G1"/>
    <mergeCell ref="B4:H4"/>
    <mergeCell ref="B6:H6"/>
    <mergeCell ref="B8:H8"/>
    <mergeCell ref="B5:H5"/>
    <mergeCell ref="B11:D11"/>
    <mergeCell ref="B56:H56"/>
    <mergeCell ref="B14:H14"/>
    <mergeCell ref="E36:F36"/>
    <mergeCell ref="D18:F18"/>
    <mergeCell ref="B18:B19"/>
    <mergeCell ref="C18:C19"/>
    <mergeCell ref="G18:G19"/>
    <mergeCell ref="H18:H19"/>
    <mergeCell ref="B55:G55"/>
    <mergeCell ref="B48:G48"/>
    <mergeCell ref="B49:G49"/>
    <mergeCell ref="B50:D50"/>
    <mergeCell ref="B51:G51"/>
    <mergeCell ref="B52:G52"/>
    <mergeCell ref="B43:D43"/>
  </mergeCells>
  <dataValidations count="2">
    <dataValidation type="list" sqref="A1 H44:H55 H15 H7 E19:E33" xr:uid="{00000000-0002-0000-2C00-000001000000}">
      <formula1>"☐,☑"</formula1>
    </dataValidation>
    <dataValidation sqref="H10:H12 H36:H38 E34:G34" xr:uid="{CD6E1DD4-B08C-44BC-86AF-2EAFC127C41F}"/>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98305" r:id="rId3" name="Button 1">
              <controlPr defaultSize="0" print="0" autoFill="0" autoPict="0" macro="[0]!Add_Daylight_Row">
                <anchor moveWithCells="1" sizeWithCells="1">
                  <from>
                    <xdr:col>0</xdr:col>
                    <xdr:colOff>0</xdr:colOff>
                    <xdr:row>31</xdr:row>
                    <xdr:rowOff>190500</xdr:rowOff>
                  </from>
                  <to>
                    <xdr:col>1</xdr:col>
                    <xdr:colOff>0</xdr:colOff>
                    <xdr:row>32</xdr:row>
                    <xdr:rowOff>243840</xdr:rowOff>
                  </to>
                </anchor>
              </controlPr>
            </control>
          </mc:Choice>
        </mc:AlternateContent>
      </controls>
    </mc:Choice>
  </mc:AlternateContent>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E63"/>
  <sheetViews>
    <sheetView workbookViewId="0">
      <selection activeCell="H10" sqref="H10"/>
    </sheetView>
  </sheetViews>
  <sheetFormatPr defaultRowHeight="13.8"/>
  <cols>
    <col min="1" max="1" width="13.59765625" customWidth="1"/>
    <col min="2" max="2" width="24.5" customWidth="1"/>
    <col min="3" max="3" width="25.8984375" customWidth="1"/>
    <col min="4" max="4" width="26" customWidth="1"/>
    <col min="5" max="5" width="19.3984375" customWidth="1"/>
  </cols>
  <sheetData>
    <row r="1" spans="1:5" ht="17.399999999999999">
      <c r="A1" s="6" t="s">
        <v>134</v>
      </c>
      <c r="B1" s="4" t="s">
        <v>163</v>
      </c>
      <c r="C1" s="9">
        <f>E45</f>
        <v>0</v>
      </c>
      <c r="D1" s="4" t="s">
        <v>317</v>
      </c>
      <c r="E1" s="4">
        <f>IF('Project Info'!$C$8="New Hotel",1,1)</f>
        <v>1</v>
      </c>
    </row>
    <row r="2" spans="1:5" ht="42">
      <c r="A2" s="2"/>
      <c r="B2" s="5" t="s">
        <v>98</v>
      </c>
      <c r="C2" s="5"/>
      <c r="D2" s="5"/>
      <c r="E2" s="5" t="s">
        <v>97</v>
      </c>
    </row>
    <row r="3" spans="1:5" ht="15.6">
      <c r="A3" s="2"/>
      <c r="B3" s="16" t="s">
        <v>5</v>
      </c>
      <c r="C3" s="3"/>
      <c r="D3" s="3"/>
      <c r="E3" s="3" t="str">
        <f>HYPERLINK("#'Checklist'!A1","Go To Checklist")</f>
        <v>Go To Checklist</v>
      </c>
    </row>
    <row r="4" spans="1:5" ht="52.8" customHeight="1">
      <c r="A4" s="2"/>
      <c r="B4" s="882" t="s">
        <v>710</v>
      </c>
      <c r="C4" s="883"/>
      <c r="D4" s="883"/>
      <c r="E4" s="884"/>
    </row>
    <row r="5" spans="1:5" ht="15.6" customHeight="1">
      <c r="A5" s="2"/>
      <c r="B5" s="946" t="s">
        <v>918</v>
      </c>
      <c r="C5" s="946"/>
      <c r="D5" s="946"/>
      <c r="E5" s="40"/>
    </row>
    <row r="6" spans="1:5" ht="19.95" customHeight="1">
      <c r="A6" s="2"/>
      <c r="B6" s="81" t="s">
        <v>1607</v>
      </c>
      <c r="C6" s="82"/>
      <c r="D6" s="82"/>
      <c r="E6" s="56"/>
    </row>
    <row r="7" spans="1:5" ht="19.95" customHeight="1">
      <c r="A7" s="2"/>
      <c r="B7" s="68" t="s">
        <v>1602</v>
      </c>
      <c r="C7" s="75" t="s">
        <v>1603</v>
      </c>
      <c r="D7" s="75" t="s">
        <v>1604</v>
      </c>
      <c r="E7" s="75" t="s">
        <v>1605</v>
      </c>
    </row>
    <row r="8" spans="1:5" ht="19.95" customHeight="1">
      <c r="A8" s="2"/>
      <c r="B8" s="51"/>
      <c r="C8" s="51"/>
      <c r="D8" s="51" t="s">
        <v>1606</v>
      </c>
      <c r="E8" s="79">
        <f>IF(OR(D8="Flora Fauna",D8="Sky",D8="Flora Fauna and Sky"),C8,"")</f>
        <v>0</v>
      </c>
    </row>
    <row r="9" spans="1:5" ht="19.95" customHeight="1">
      <c r="A9" s="2"/>
      <c r="B9" s="51"/>
      <c r="C9" s="51"/>
      <c r="D9" s="51"/>
      <c r="E9" s="79" t="str">
        <f t="shared" ref="E9:E20" si="0">IF(OR(D9="Flora Fauna",D9="Sky",D9="Flora Fauna and Sky"),C9,"")</f>
        <v/>
      </c>
    </row>
    <row r="10" spans="1:5" ht="19.95" customHeight="1">
      <c r="A10" s="2"/>
      <c r="B10" s="51"/>
      <c r="C10" s="51"/>
      <c r="D10" s="51"/>
      <c r="E10" s="79" t="str">
        <f t="shared" si="0"/>
        <v/>
      </c>
    </row>
    <row r="11" spans="1:5" ht="19.95" customHeight="1">
      <c r="A11" s="2"/>
      <c r="B11" s="51"/>
      <c r="C11" s="51"/>
      <c r="D11" s="51"/>
      <c r="E11" s="79" t="str">
        <f t="shared" si="0"/>
        <v/>
      </c>
    </row>
    <row r="12" spans="1:5" ht="19.95" customHeight="1">
      <c r="A12" s="2"/>
      <c r="B12" s="51"/>
      <c r="C12" s="51"/>
      <c r="D12" s="51"/>
      <c r="E12" s="79" t="str">
        <f t="shared" si="0"/>
        <v/>
      </c>
    </row>
    <row r="13" spans="1:5" ht="19.95" customHeight="1">
      <c r="A13" s="2"/>
      <c r="B13" s="51"/>
      <c r="C13" s="51"/>
      <c r="D13" s="51"/>
      <c r="E13" s="79" t="str">
        <f t="shared" si="0"/>
        <v/>
      </c>
    </row>
    <row r="14" spans="1:5" ht="19.95" customHeight="1">
      <c r="A14" s="2"/>
      <c r="B14" s="51"/>
      <c r="C14" s="51"/>
      <c r="D14" s="51"/>
      <c r="E14" s="79" t="str">
        <f t="shared" si="0"/>
        <v/>
      </c>
    </row>
    <row r="15" spans="1:5" ht="19.95" customHeight="1">
      <c r="A15" s="2"/>
      <c r="B15" s="51"/>
      <c r="C15" s="51"/>
      <c r="D15" s="51"/>
      <c r="E15" s="79" t="str">
        <f t="shared" si="0"/>
        <v/>
      </c>
    </row>
    <row r="16" spans="1:5" ht="19.95" customHeight="1">
      <c r="A16" s="2"/>
      <c r="B16" s="51"/>
      <c r="C16" s="51"/>
      <c r="D16" s="51"/>
      <c r="E16" s="79" t="str">
        <f t="shared" si="0"/>
        <v/>
      </c>
    </row>
    <row r="17" spans="1:5" ht="19.95" customHeight="1">
      <c r="A17" s="2"/>
      <c r="B17" s="51"/>
      <c r="C17" s="51"/>
      <c r="D17" s="51"/>
      <c r="E17" s="79" t="str">
        <f t="shared" si="0"/>
        <v/>
      </c>
    </row>
    <row r="18" spans="1:5" ht="19.95" customHeight="1">
      <c r="A18" s="2"/>
      <c r="B18" s="51"/>
      <c r="C18" s="51"/>
      <c r="D18" s="51"/>
      <c r="E18" s="79" t="str">
        <f t="shared" si="0"/>
        <v/>
      </c>
    </row>
    <row r="19" spans="1:5" ht="19.95" customHeight="1">
      <c r="A19" s="2"/>
      <c r="B19" s="51"/>
      <c r="C19" s="51"/>
      <c r="D19" s="51"/>
      <c r="E19" s="79" t="str">
        <f t="shared" si="0"/>
        <v/>
      </c>
    </row>
    <row r="20" spans="1:5" ht="19.95" customHeight="1">
      <c r="A20" s="2"/>
      <c r="B20" s="51"/>
      <c r="C20" s="51"/>
      <c r="D20" s="51"/>
      <c r="E20" s="79" t="str">
        <f t="shared" si="0"/>
        <v/>
      </c>
    </row>
    <row r="21" spans="1:5" ht="28.8" customHeight="1">
      <c r="A21" s="2"/>
      <c r="B21" s="80" t="s">
        <v>542</v>
      </c>
      <c r="C21" s="51">
        <f>SUM(C8:INDEX(C:C,ROW()-1))</f>
        <v>0</v>
      </c>
      <c r="D21" s="80" t="s">
        <v>542</v>
      </c>
      <c r="E21" s="79">
        <f>SUM(E8:INDEX(E:E,ROW()-1))</f>
        <v>0</v>
      </c>
    </row>
    <row r="22" spans="1:5" ht="19.95" customHeight="1">
      <c r="A22" s="2"/>
      <c r="B22" s="947" t="s">
        <v>1608</v>
      </c>
      <c r="C22" s="947"/>
      <c r="D22" s="82"/>
      <c r="E22" s="56"/>
    </row>
    <row r="23" spans="1:5" ht="28.2" customHeight="1">
      <c r="A23" s="2"/>
      <c r="B23" s="75" t="s">
        <v>1609</v>
      </c>
      <c r="C23" s="75" t="s">
        <v>1603</v>
      </c>
      <c r="D23" s="75" t="s">
        <v>1604</v>
      </c>
      <c r="E23" s="75" t="s">
        <v>1605</v>
      </c>
    </row>
    <row r="24" spans="1:5" ht="19.95" customHeight="1">
      <c r="B24" s="51"/>
      <c r="C24" s="51"/>
      <c r="D24" s="51" t="s">
        <v>1606</v>
      </c>
      <c r="E24" s="79">
        <f>IF(OR(D24="Flora Fauna",D24="Sky",D24="Flora Fauna and Sky"),C24,"")</f>
        <v>0</v>
      </c>
    </row>
    <row r="25" spans="1:5" ht="19.95" customHeight="1">
      <c r="B25" s="51"/>
      <c r="C25" s="51"/>
      <c r="D25" s="51"/>
      <c r="E25" s="79" t="str">
        <f t="shared" ref="E25:E36" si="1">IF(OR(D25="Flora Fauna",D25="Sky",D25="Flora Fauna and Sky"),C25,"")</f>
        <v/>
      </c>
    </row>
    <row r="26" spans="1:5" ht="19.95" customHeight="1">
      <c r="B26" s="51"/>
      <c r="C26" s="51"/>
      <c r="D26" s="51"/>
      <c r="E26" s="79" t="str">
        <f t="shared" si="1"/>
        <v/>
      </c>
    </row>
    <row r="27" spans="1:5" ht="19.95" customHeight="1">
      <c r="B27" s="51"/>
      <c r="C27" s="51"/>
      <c r="D27" s="51"/>
      <c r="E27" s="79" t="str">
        <f t="shared" si="1"/>
        <v/>
      </c>
    </row>
    <row r="28" spans="1:5" ht="19.95" customHeight="1">
      <c r="B28" s="51"/>
      <c r="C28" s="51"/>
      <c r="D28" s="51"/>
      <c r="E28" s="79" t="str">
        <f t="shared" si="1"/>
        <v/>
      </c>
    </row>
    <row r="29" spans="1:5" ht="19.95" customHeight="1">
      <c r="B29" s="51"/>
      <c r="C29" s="51"/>
      <c r="D29" s="51"/>
      <c r="E29" s="79" t="str">
        <f t="shared" si="1"/>
        <v/>
      </c>
    </row>
    <row r="30" spans="1:5" ht="19.95" customHeight="1">
      <c r="B30" s="51"/>
      <c r="C30" s="51"/>
      <c r="D30" s="51"/>
      <c r="E30" s="79" t="str">
        <f t="shared" si="1"/>
        <v/>
      </c>
    </row>
    <row r="31" spans="1:5" ht="19.95" customHeight="1">
      <c r="B31" s="51"/>
      <c r="C31" s="51"/>
      <c r="D31" s="51"/>
      <c r="E31" s="79" t="str">
        <f t="shared" si="1"/>
        <v/>
      </c>
    </row>
    <row r="32" spans="1:5" ht="19.95" customHeight="1">
      <c r="B32" s="51"/>
      <c r="C32" s="51"/>
      <c r="D32" s="51"/>
      <c r="E32" s="79" t="str">
        <f t="shared" si="1"/>
        <v/>
      </c>
    </row>
    <row r="33" spans="2:5" ht="19.95" customHeight="1">
      <c r="B33" s="51"/>
      <c r="C33" s="51"/>
      <c r="D33" s="51"/>
      <c r="E33" s="79" t="str">
        <f t="shared" si="1"/>
        <v/>
      </c>
    </row>
    <row r="34" spans="2:5" ht="19.95" customHeight="1">
      <c r="B34" s="51"/>
      <c r="C34" s="51"/>
      <c r="D34" s="51"/>
      <c r="E34" s="79" t="str">
        <f t="shared" si="1"/>
        <v/>
      </c>
    </row>
    <row r="35" spans="2:5" ht="19.95" customHeight="1">
      <c r="B35" s="51"/>
      <c r="C35" s="51"/>
      <c r="D35" s="51"/>
      <c r="E35" s="79" t="str">
        <f t="shared" si="1"/>
        <v/>
      </c>
    </row>
    <row r="36" spans="2:5" ht="19.95" customHeight="1">
      <c r="B36" s="51"/>
      <c r="C36" s="51"/>
      <c r="D36" s="51"/>
      <c r="E36" s="79" t="str">
        <f t="shared" si="1"/>
        <v/>
      </c>
    </row>
    <row r="37" spans="2:5" ht="19.95" customHeight="1">
      <c r="B37" s="80" t="s">
        <v>542</v>
      </c>
      <c r="C37" s="51">
        <f>SUM(C24:INDEX(C:C,ROW()-1))</f>
        <v>0</v>
      </c>
      <c r="D37" s="80" t="s">
        <v>542</v>
      </c>
      <c r="E37" s="79">
        <f>SUM(E24:INDEX(E:E,ROW()-1))</f>
        <v>0</v>
      </c>
    </row>
    <row r="38" spans="2:5" ht="19.95" customHeight="1">
      <c r="B38" s="41" t="s">
        <v>940</v>
      </c>
      <c r="C38" s="41"/>
      <c r="D38" s="41" t="s">
        <v>622</v>
      </c>
      <c r="E38" s="43" t="s">
        <v>829</v>
      </c>
    </row>
    <row r="39" spans="2:5" ht="19.95" customHeight="1">
      <c r="B39" s="54" t="s">
        <v>1365</v>
      </c>
      <c r="C39" s="54"/>
      <c r="D39" s="54" t="s">
        <v>167</v>
      </c>
      <c r="E39" s="56">
        <f>C21</f>
        <v>0</v>
      </c>
    </row>
    <row r="40" spans="2:5" ht="15.6">
      <c r="B40" s="930" t="s">
        <v>1366</v>
      </c>
      <c r="C40" s="930"/>
      <c r="D40" s="54" t="s">
        <v>167</v>
      </c>
      <c r="E40" s="56">
        <f>E21</f>
        <v>0</v>
      </c>
    </row>
    <row r="41" spans="2:5" ht="17.399999999999999">
      <c r="B41" s="63" t="s">
        <v>169</v>
      </c>
      <c r="C41" s="63"/>
      <c r="D41" s="63" t="s">
        <v>170</v>
      </c>
      <c r="E41" s="89">
        <f>IFERROR(E40/E39,0)</f>
        <v>0</v>
      </c>
    </row>
    <row r="42" spans="2:5" ht="15.6">
      <c r="B42" s="930" t="s">
        <v>1367</v>
      </c>
      <c r="C42" s="930"/>
      <c r="D42" s="54" t="s">
        <v>167</v>
      </c>
      <c r="E42" s="56">
        <f>C37</f>
        <v>0</v>
      </c>
    </row>
    <row r="43" spans="2:5" ht="19.95" customHeight="1">
      <c r="B43" s="930" t="s">
        <v>1368</v>
      </c>
      <c r="C43" s="930"/>
      <c r="D43" s="54" t="s">
        <v>167</v>
      </c>
      <c r="E43" s="56">
        <f>E37</f>
        <v>0</v>
      </c>
    </row>
    <row r="44" spans="2:5" ht="30" customHeight="1">
      <c r="B44" s="63" t="s">
        <v>169</v>
      </c>
      <c r="C44" s="63"/>
      <c r="D44" s="63" t="s">
        <v>170</v>
      </c>
      <c r="E44" s="89">
        <f>IFERROR(E43/E42,0)</f>
        <v>0</v>
      </c>
    </row>
    <row r="45" spans="2:5" ht="30" customHeight="1">
      <c r="B45" s="945" t="s">
        <v>329</v>
      </c>
      <c r="C45" s="3" t="s">
        <v>1370</v>
      </c>
      <c r="D45" s="944" t="s">
        <v>6</v>
      </c>
      <c r="E45" s="578">
        <f>IF(AND(E41&gt;=90%,E44&gt;=50%),1,0)</f>
        <v>0</v>
      </c>
    </row>
    <row r="46" spans="2:5" ht="30" customHeight="1">
      <c r="B46" s="945"/>
      <c r="C46" s="3" t="s">
        <v>1369</v>
      </c>
      <c r="D46" s="944"/>
      <c r="E46" s="578"/>
    </row>
    <row r="47" spans="2:5" ht="19.95" customHeight="1">
      <c r="B47" s="59" t="s">
        <v>585</v>
      </c>
      <c r="C47" s="3"/>
      <c r="D47" s="3"/>
      <c r="E47" s="10"/>
    </row>
    <row r="48" spans="2:5">
      <c r="B48" s="880" t="s">
        <v>1371</v>
      </c>
      <c r="C48" s="880"/>
      <c r="D48" s="880"/>
      <c r="E48" s="880"/>
    </row>
    <row r="49" spans="1:5">
      <c r="B49" s="880" t="s">
        <v>1107</v>
      </c>
      <c r="C49" s="880"/>
      <c r="D49" s="880"/>
      <c r="E49" s="880"/>
    </row>
    <row r="50" spans="1:5" ht="14.4">
      <c r="A50" s="65"/>
      <c r="B50" s="880" t="s">
        <v>1108</v>
      </c>
      <c r="C50" s="880"/>
      <c r="D50" s="880"/>
      <c r="E50" s="880"/>
    </row>
    <row r="51" spans="1:5" ht="14.4">
      <c r="A51" s="65"/>
      <c r="B51" s="943" t="s">
        <v>98</v>
      </c>
      <c r="C51" s="943"/>
      <c r="D51" s="11" t="s">
        <v>189</v>
      </c>
      <c r="E51" s="8">
        <f>C1</f>
        <v>0</v>
      </c>
    </row>
    <row r="52" spans="1:5" ht="14.4">
      <c r="A52" s="65"/>
      <c r="B52" s="3"/>
      <c r="C52" s="3"/>
      <c r="D52" s="3"/>
      <c r="E52" s="3"/>
    </row>
    <row r="53" spans="1:5" ht="14.4">
      <c r="A53" s="65"/>
      <c r="B53" s="942" t="s">
        <v>146</v>
      </c>
      <c r="C53" s="942"/>
      <c r="D53" s="942"/>
      <c r="E53" s="942"/>
    </row>
    <row r="54" spans="1:5" ht="17.399999999999999">
      <c r="A54" s="65"/>
      <c r="B54" s="881" t="s">
        <v>1109</v>
      </c>
      <c r="C54" s="881"/>
      <c r="D54" s="881"/>
      <c r="E54" s="7" t="s">
        <v>139</v>
      </c>
    </row>
    <row r="55" spans="1:5" ht="17.399999999999999">
      <c r="A55" s="65"/>
      <c r="B55" s="881" t="s">
        <v>1110</v>
      </c>
      <c r="C55" s="881"/>
      <c r="D55" s="881"/>
      <c r="E55" s="7" t="s">
        <v>139</v>
      </c>
    </row>
    <row r="56" spans="1:5" ht="17.399999999999999">
      <c r="A56" s="65"/>
      <c r="B56" s="881" t="s">
        <v>1111</v>
      </c>
      <c r="C56" s="881"/>
      <c r="D56" s="881"/>
      <c r="E56" s="7" t="s">
        <v>139</v>
      </c>
    </row>
    <row r="57" spans="1:5" ht="17.399999999999999">
      <c r="A57" s="65"/>
      <c r="B57" s="881" t="s">
        <v>1112</v>
      </c>
      <c r="C57" s="881"/>
      <c r="D57" s="881"/>
      <c r="E57" s="7" t="s">
        <v>139</v>
      </c>
    </row>
    <row r="58" spans="1:5" ht="17.399999999999999">
      <c r="A58" s="65"/>
      <c r="B58" s="880" t="s">
        <v>1113</v>
      </c>
      <c r="C58" s="880"/>
      <c r="D58" s="880"/>
      <c r="E58" s="7" t="s">
        <v>139</v>
      </c>
    </row>
    <row r="59" spans="1:5">
      <c r="B59" s="877" t="s">
        <v>147</v>
      </c>
      <c r="C59" s="877"/>
      <c r="D59" s="877"/>
      <c r="E59" s="877"/>
    </row>
    <row r="60" spans="1:5">
      <c r="B60" s="3"/>
      <c r="C60" s="3"/>
      <c r="D60" s="3"/>
      <c r="E60" s="3"/>
    </row>
    <row r="61" spans="1:5">
      <c r="B61" s="3"/>
      <c r="C61" s="3"/>
      <c r="D61" s="3"/>
      <c r="E61" s="3"/>
    </row>
    <row r="62" spans="1:5">
      <c r="B62" s="3"/>
      <c r="C62" s="3"/>
      <c r="D62" s="3"/>
      <c r="E62" s="3"/>
    </row>
    <row r="63" spans="1:5">
      <c r="B63" s="3"/>
      <c r="C63" s="3"/>
      <c r="D63" s="3"/>
      <c r="E63" s="3"/>
    </row>
  </sheetData>
  <mergeCells count="20">
    <mergeCell ref="B43:C43"/>
    <mergeCell ref="B42:C42"/>
    <mergeCell ref="B45:B46"/>
    <mergeCell ref="E45:E46"/>
    <mergeCell ref="B4:E4"/>
    <mergeCell ref="B59:E59"/>
    <mergeCell ref="B55:D55"/>
    <mergeCell ref="B56:D56"/>
    <mergeCell ref="B57:D57"/>
    <mergeCell ref="B53:E53"/>
    <mergeCell ref="B54:D54"/>
    <mergeCell ref="B58:D58"/>
    <mergeCell ref="B51:C51"/>
    <mergeCell ref="B5:D5"/>
    <mergeCell ref="B48:E48"/>
    <mergeCell ref="B49:E49"/>
    <mergeCell ref="B50:E50"/>
    <mergeCell ref="D45:D46"/>
    <mergeCell ref="B22:C22"/>
    <mergeCell ref="B40:C40"/>
  </mergeCells>
  <dataValidations count="4">
    <dataValidation type="decimal" sqref="C1" xr:uid="{00000000-0002-0000-2D00-000000000000}">
      <formula1>0</formula1>
      <formula2>1</formula2>
    </dataValidation>
    <dataValidation type="list" sqref="A1 E54:E58 E47" xr:uid="{00000000-0002-0000-2D00-000001000000}">
      <formula1>"☐,☑"</formula1>
    </dataValidation>
    <dataValidation sqref="E39:E44 E7:E21 E23:E37" xr:uid="{61CD6475-44F6-4874-9E43-85E86C283140}"/>
    <dataValidation type="list" allowBlank="1" showInputMessage="1" showErrorMessage="1" sqref="D8:D20 D24:D36" xr:uid="{B7A09E6D-CAD7-4D89-8D5C-63D39F28A713}">
      <formula1>"Flora Fauna, Sky, Flora Fauna and Sky, None"</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99329" r:id="rId3" name="Button 1">
              <controlPr defaultSize="0" print="0" autoFill="0" autoPict="0" macro="[0]!Add_Guest_Area_Row">
                <anchor moveWithCells="1" sizeWithCells="1">
                  <from>
                    <xdr:col>0</xdr:col>
                    <xdr:colOff>38100</xdr:colOff>
                    <xdr:row>18</xdr:row>
                    <xdr:rowOff>243840</xdr:rowOff>
                  </from>
                  <to>
                    <xdr:col>0</xdr:col>
                    <xdr:colOff>1005840</xdr:colOff>
                    <xdr:row>20</xdr:row>
                    <xdr:rowOff>0</xdr:rowOff>
                  </to>
                </anchor>
              </controlPr>
            </control>
          </mc:Choice>
        </mc:AlternateContent>
        <mc:AlternateContent xmlns:mc="http://schemas.openxmlformats.org/markup-compatibility/2006">
          <mc:Choice Requires="x14">
            <control shapeId="99330" r:id="rId4" name="Button 2">
              <controlPr defaultSize="0" print="0" autoFill="0" autoPict="0" macro="[0]!Add_Regularly_Occupied_Row">
                <anchor moveWithCells="1" sizeWithCells="1">
                  <from>
                    <xdr:col>0</xdr:col>
                    <xdr:colOff>60960</xdr:colOff>
                    <xdr:row>34</xdr:row>
                    <xdr:rowOff>236220</xdr:rowOff>
                  </from>
                  <to>
                    <xdr:col>0</xdr:col>
                    <xdr:colOff>1021080</xdr:colOff>
                    <xdr:row>36</xdr:row>
                    <xdr:rowOff>0</xdr:rowOff>
                  </to>
                </anchor>
              </controlPr>
            </control>
          </mc:Choice>
        </mc:AlternateContent>
      </controls>
    </mc:Choice>
  </mc:AlternateConten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E49"/>
  <sheetViews>
    <sheetView topLeftCell="A13" workbookViewId="0">
      <selection activeCell="F20" sqref="F20"/>
    </sheetView>
  </sheetViews>
  <sheetFormatPr defaultRowHeight="13.8"/>
  <cols>
    <col min="1" max="1" width="6" style="93" customWidth="1"/>
    <col min="2" max="2" width="40.69921875" style="93" customWidth="1"/>
    <col min="3" max="3" width="22.296875" style="93" customWidth="1"/>
    <col min="4" max="4" width="21" style="93" customWidth="1"/>
    <col min="5" max="5" width="17" style="93" customWidth="1"/>
    <col min="6" max="16384" width="8.796875" style="93"/>
  </cols>
  <sheetData>
    <row r="1" spans="1:5" ht="17.399999999999999">
      <c r="A1" s="91" t="s">
        <v>134</v>
      </c>
      <c r="B1" s="92" t="s">
        <v>163</v>
      </c>
      <c r="C1" s="9">
        <f>E11+E20+E30</f>
        <v>0</v>
      </c>
      <c r="D1" s="92" t="s">
        <v>317</v>
      </c>
      <c r="E1" s="92">
        <f>IF('Project Info'!$C$8="New Hotel",3,3)</f>
        <v>3</v>
      </c>
    </row>
    <row r="2" spans="1:5" ht="42">
      <c r="A2" s="94"/>
      <c r="B2" s="95" t="s">
        <v>100</v>
      </c>
      <c r="C2" s="95"/>
      <c r="D2" s="472"/>
      <c r="E2" s="472" t="s">
        <v>99</v>
      </c>
    </row>
    <row r="3" spans="1:5" ht="15.6">
      <c r="A3" s="94"/>
      <c r="B3" s="96" t="s">
        <v>5</v>
      </c>
      <c r="C3" s="97"/>
      <c r="D3" s="97"/>
      <c r="E3" s="97" t="str">
        <f>HYPERLINK("#'Checklist'!A1","Go To Checklist")</f>
        <v>Go To Checklist</v>
      </c>
    </row>
    <row r="4" spans="1:5" ht="51.6" customHeight="1">
      <c r="A4" s="94"/>
      <c r="B4" s="533" t="s">
        <v>710</v>
      </c>
      <c r="C4" s="534"/>
      <c r="D4" s="534"/>
      <c r="E4" s="535"/>
    </row>
    <row r="5" spans="1:5" ht="15.6" customHeight="1">
      <c r="A5" s="94"/>
      <c r="B5" s="562" t="s">
        <v>918</v>
      </c>
      <c r="C5" s="562"/>
      <c r="D5" s="562"/>
      <c r="E5" s="98"/>
    </row>
    <row r="6" spans="1:5" ht="15.6" customHeight="1">
      <c r="A6" s="94"/>
      <c r="B6" s="422" t="s">
        <v>1116</v>
      </c>
      <c r="C6" s="228"/>
      <c r="D6" s="228"/>
      <c r="E6" s="229"/>
    </row>
    <row r="7" spans="1:5">
      <c r="A7" s="94"/>
      <c r="B7" s="109" t="s">
        <v>940</v>
      </c>
      <c r="C7" s="741" t="s">
        <v>622</v>
      </c>
      <c r="D7" s="741"/>
      <c r="E7" s="110" t="s">
        <v>829</v>
      </c>
    </row>
    <row r="8" spans="1:5" ht="16.8" customHeight="1">
      <c r="A8" s="94"/>
      <c r="B8" s="365" t="s">
        <v>1372</v>
      </c>
      <c r="C8" s="830" t="s">
        <v>1064</v>
      </c>
      <c r="D8" s="830"/>
      <c r="E8" s="989"/>
    </row>
    <row r="9" spans="1:5" ht="18" customHeight="1">
      <c r="A9" s="94"/>
      <c r="B9" s="365" t="s">
        <v>1373</v>
      </c>
      <c r="C9" s="830" t="s">
        <v>1064</v>
      </c>
      <c r="D9" s="830"/>
      <c r="E9" s="412"/>
    </row>
    <row r="10" spans="1:5" ht="16.8" customHeight="1">
      <c r="A10" s="94"/>
      <c r="B10" s="990" t="s">
        <v>169</v>
      </c>
      <c r="C10" s="991" t="s">
        <v>170</v>
      </c>
      <c r="D10" s="991"/>
      <c r="E10" s="992">
        <f>IFERROR(E9/E8,0)</f>
        <v>0</v>
      </c>
    </row>
    <row r="11" spans="1:5">
      <c r="A11" s="94"/>
      <c r="B11" s="145" t="s">
        <v>329</v>
      </c>
      <c r="C11" s="124" t="s">
        <v>1117</v>
      </c>
      <c r="D11" s="419" t="s">
        <v>6</v>
      </c>
      <c r="E11" s="14">
        <f>IF(E10&gt;=5%,1,0)</f>
        <v>0</v>
      </c>
    </row>
    <row r="12" spans="1:5">
      <c r="A12" s="94"/>
      <c r="B12" s="616" t="s">
        <v>917</v>
      </c>
      <c r="C12" s="616"/>
      <c r="D12" s="616"/>
      <c r="E12" s="616"/>
    </row>
    <row r="13" spans="1:5" ht="15.6">
      <c r="A13" s="94"/>
      <c r="B13" s="692" t="s">
        <v>1119</v>
      </c>
      <c r="C13" s="692"/>
      <c r="D13" s="692"/>
      <c r="E13" s="692"/>
    </row>
    <row r="14" spans="1:5" ht="15.6">
      <c r="A14" s="94"/>
      <c r="B14" s="109" t="s">
        <v>1120</v>
      </c>
      <c r="C14" s="865"/>
      <c r="D14" s="865"/>
      <c r="E14" s="201" t="s">
        <v>137</v>
      </c>
    </row>
    <row r="15" spans="1:5" ht="17.399999999999999">
      <c r="A15" s="94"/>
      <c r="B15" s="993" t="s">
        <v>1121</v>
      </c>
      <c r="C15" s="994"/>
      <c r="D15" s="995"/>
      <c r="E15" s="366" t="s">
        <v>139</v>
      </c>
    </row>
    <row r="16" spans="1:5" ht="17.399999999999999" customHeight="1">
      <c r="A16" s="94"/>
      <c r="B16" s="993" t="s">
        <v>1122</v>
      </c>
      <c r="C16" s="994"/>
      <c r="D16" s="995"/>
      <c r="E16" s="366" t="s">
        <v>139</v>
      </c>
    </row>
    <row r="17" spans="1:5" ht="17.399999999999999">
      <c r="A17" s="94"/>
      <c r="B17" s="993" t="s">
        <v>1123</v>
      </c>
      <c r="C17" s="994"/>
      <c r="D17" s="995"/>
      <c r="E17" s="366" t="s">
        <v>139</v>
      </c>
    </row>
    <row r="18" spans="1:5" ht="17.399999999999999" customHeight="1">
      <c r="A18" s="94"/>
      <c r="B18" s="993" t="s">
        <v>1124</v>
      </c>
      <c r="C18" s="994"/>
      <c r="D18" s="995"/>
      <c r="E18" s="366" t="s">
        <v>139</v>
      </c>
    </row>
    <row r="19" spans="1:5" ht="17.399999999999999">
      <c r="A19" s="94"/>
      <c r="B19" s="993" t="s">
        <v>1125</v>
      </c>
      <c r="C19" s="994"/>
      <c r="D19" s="995"/>
      <c r="E19" s="366" t="s">
        <v>139</v>
      </c>
    </row>
    <row r="20" spans="1:5" ht="27.6">
      <c r="A20" s="94"/>
      <c r="B20" s="145" t="s">
        <v>329</v>
      </c>
      <c r="C20" s="124" t="s">
        <v>1126</v>
      </c>
      <c r="D20" s="419" t="s">
        <v>6</v>
      </c>
      <c r="E20" s="14">
        <f>IF(COUNTIF(E15:E19,"☑")&gt;=2,1,0)</f>
        <v>0</v>
      </c>
    </row>
    <row r="21" spans="1:5" ht="17.399999999999999" customHeight="1">
      <c r="A21" s="94"/>
      <c r="B21" s="616" t="s">
        <v>917</v>
      </c>
      <c r="C21" s="616"/>
      <c r="D21" s="616"/>
      <c r="E21" s="616"/>
    </row>
    <row r="22" spans="1:5" ht="17.399999999999999" customHeight="1">
      <c r="A22" s="94"/>
      <c r="B22" s="692" t="s">
        <v>1133</v>
      </c>
      <c r="C22" s="692"/>
      <c r="D22" s="692"/>
      <c r="E22" s="692"/>
    </row>
    <row r="23" spans="1:5" ht="15.6">
      <c r="A23" s="94"/>
      <c r="B23" s="109" t="s">
        <v>1120</v>
      </c>
      <c r="C23" s="865"/>
      <c r="D23" s="865"/>
      <c r="E23" s="201" t="s">
        <v>137</v>
      </c>
    </row>
    <row r="24" spans="1:5" ht="17.399999999999999" customHeight="1">
      <c r="A24" s="94"/>
      <c r="B24" s="828" t="s">
        <v>1127</v>
      </c>
      <c r="C24" s="828"/>
      <c r="D24" s="828"/>
      <c r="E24" s="366" t="s">
        <v>139</v>
      </c>
    </row>
    <row r="25" spans="1:5" ht="17.399999999999999" customHeight="1">
      <c r="A25" s="94"/>
      <c r="B25" s="828" t="s">
        <v>1128</v>
      </c>
      <c r="C25" s="828"/>
      <c r="D25" s="828"/>
      <c r="E25" s="366" t="s">
        <v>139</v>
      </c>
    </row>
    <row r="26" spans="1:5" ht="17.399999999999999" customHeight="1">
      <c r="A26" s="94"/>
      <c r="B26" s="828" t="s">
        <v>1129</v>
      </c>
      <c r="C26" s="828"/>
      <c r="D26" s="828"/>
      <c r="E26" s="366" t="s">
        <v>139</v>
      </c>
    </row>
    <row r="27" spans="1:5" ht="17.399999999999999" customHeight="1">
      <c r="A27" s="94"/>
      <c r="B27" s="828" t="s">
        <v>1130</v>
      </c>
      <c r="C27" s="828"/>
      <c r="D27" s="828"/>
      <c r="E27" s="366" t="s">
        <v>139</v>
      </c>
    </row>
    <row r="28" spans="1:5" ht="17.399999999999999" customHeight="1">
      <c r="A28" s="94"/>
      <c r="B28" s="828" t="s">
        <v>1131</v>
      </c>
      <c r="C28" s="828"/>
      <c r="D28" s="828"/>
      <c r="E28" s="366" t="s">
        <v>139</v>
      </c>
    </row>
    <row r="29" spans="1:5" ht="17.399999999999999" customHeight="1">
      <c r="A29" s="94"/>
      <c r="B29" s="828" t="s">
        <v>1132</v>
      </c>
      <c r="C29" s="828"/>
      <c r="D29" s="828"/>
      <c r="E29" s="366" t="s">
        <v>139</v>
      </c>
    </row>
    <row r="30" spans="1:5" ht="17.399999999999999" customHeight="1">
      <c r="A30" s="94"/>
      <c r="B30" s="145" t="s">
        <v>329</v>
      </c>
      <c r="C30" s="97" t="s">
        <v>1126</v>
      </c>
      <c r="D30" s="419" t="s">
        <v>6</v>
      </c>
      <c r="E30" s="14">
        <f>IF(COUNTIF(E24:E29,"☑")&gt;=2,1,0)</f>
        <v>0</v>
      </c>
    </row>
    <row r="31" spans="1:5" ht="17.399999999999999" customHeight="1">
      <c r="A31" s="94"/>
      <c r="B31" s="539" t="s">
        <v>100</v>
      </c>
      <c r="C31" s="539"/>
      <c r="D31" s="275" t="s">
        <v>189</v>
      </c>
      <c r="E31" s="8">
        <f>C1</f>
        <v>0</v>
      </c>
    </row>
    <row r="32" spans="1:5" ht="17.399999999999999" customHeight="1">
      <c r="A32" s="94"/>
      <c r="B32" s="97"/>
      <c r="C32" s="97"/>
      <c r="D32" s="97"/>
      <c r="E32" s="97"/>
    </row>
    <row r="33" spans="1:5" ht="17.399999999999999" customHeight="1">
      <c r="A33" s="94"/>
      <c r="B33" s="537" t="s">
        <v>146</v>
      </c>
      <c r="C33" s="537"/>
      <c r="D33" s="537"/>
      <c r="E33" s="537"/>
    </row>
    <row r="34" spans="1:5" ht="17.399999999999999" customHeight="1">
      <c r="A34" s="94"/>
      <c r="B34" s="748" t="s">
        <v>1116</v>
      </c>
      <c r="C34" s="748"/>
      <c r="D34" s="748"/>
      <c r="E34" s="101"/>
    </row>
    <row r="35" spans="1:5" ht="17.399999999999999" customHeight="1">
      <c r="A35" s="103"/>
      <c r="B35" s="538" t="s">
        <v>1134</v>
      </c>
      <c r="C35" s="538"/>
      <c r="D35" s="538"/>
      <c r="E35" s="101" t="s">
        <v>139</v>
      </c>
    </row>
    <row r="36" spans="1:5" ht="17.399999999999999" customHeight="1">
      <c r="A36" s="103"/>
      <c r="B36" s="538" t="s">
        <v>1135</v>
      </c>
      <c r="C36" s="538"/>
      <c r="D36" s="538"/>
      <c r="E36" s="101" t="s">
        <v>139</v>
      </c>
    </row>
    <row r="37" spans="1:5" ht="17.399999999999999" customHeight="1">
      <c r="A37" s="114"/>
      <c r="B37" s="538" t="s">
        <v>1136</v>
      </c>
      <c r="C37" s="538"/>
      <c r="D37" s="538"/>
      <c r="E37" s="101" t="s">
        <v>139</v>
      </c>
    </row>
    <row r="38" spans="1:5" ht="17.399999999999999" customHeight="1">
      <c r="A38" s="114"/>
      <c r="B38" s="748" t="s">
        <v>1118</v>
      </c>
      <c r="C38" s="748"/>
      <c r="D38" s="748"/>
      <c r="E38" s="101"/>
    </row>
    <row r="39" spans="1:5" ht="17.399999999999999" customHeight="1">
      <c r="A39" s="103"/>
      <c r="B39" s="538" t="s">
        <v>1137</v>
      </c>
      <c r="C39" s="538"/>
      <c r="D39" s="538"/>
      <c r="E39" s="101" t="s">
        <v>139</v>
      </c>
    </row>
    <row r="40" spans="1:5" ht="13.8" customHeight="1">
      <c r="A40" s="103"/>
      <c r="B40" s="538" t="s">
        <v>1138</v>
      </c>
      <c r="C40" s="538"/>
      <c r="D40" s="538"/>
      <c r="E40" s="101" t="s">
        <v>139</v>
      </c>
    </row>
    <row r="41" spans="1:5" ht="17.399999999999999">
      <c r="A41" s="114"/>
      <c r="B41" s="748" t="s">
        <v>1139</v>
      </c>
      <c r="C41" s="748"/>
      <c r="D41" s="748"/>
      <c r="E41" s="101"/>
    </row>
    <row r="42" spans="1:5" ht="17.399999999999999">
      <c r="A42" s="114"/>
      <c r="B42" s="538" t="s">
        <v>1140</v>
      </c>
      <c r="C42" s="538"/>
      <c r="D42" s="538"/>
      <c r="E42" s="101" t="s">
        <v>139</v>
      </c>
    </row>
    <row r="43" spans="1:5" ht="17.399999999999999">
      <c r="A43" s="114"/>
      <c r="B43" s="538" t="s">
        <v>1141</v>
      </c>
      <c r="C43" s="538"/>
      <c r="D43" s="538"/>
      <c r="E43" s="101" t="s">
        <v>139</v>
      </c>
    </row>
    <row r="44" spans="1:5" ht="14.4">
      <c r="A44" s="114"/>
      <c r="B44" s="531" t="s">
        <v>147</v>
      </c>
      <c r="C44" s="531"/>
      <c r="D44" s="531"/>
      <c r="E44" s="531"/>
    </row>
    <row r="45" spans="1:5" ht="14.4">
      <c r="A45" s="114"/>
      <c r="B45" s="97"/>
      <c r="C45" s="97"/>
      <c r="D45" s="97"/>
      <c r="E45" s="97"/>
    </row>
    <row r="46" spans="1:5" ht="14.4">
      <c r="A46" s="114"/>
      <c r="B46" s="97"/>
      <c r="C46" s="97"/>
      <c r="D46" s="97"/>
      <c r="E46" s="97"/>
    </row>
    <row r="47" spans="1:5" ht="14.4">
      <c r="A47" s="114"/>
      <c r="B47" s="97"/>
      <c r="C47" s="97"/>
      <c r="D47" s="97"/>
      <c r="E47" s="97"/>
    </row>
    <row r="48" spans="1:5">
      <c r="B48" s="97"/>
      <c r="C48" s="97"/>
      <c r="D48" s="97"/>
      <c r="E48" s="97"/>
    </row>
    <row r="49" spans="2:5">
      <c r="B49" s="97"/>
      <c r="C49" s="97"/>
      <c r="D49" s="97"/>
      <c r="E49" s="97"/>
    </row>
  </sheetData>
  <mergeCells count="36">
    <mergeCell ref="B15:D15"/>
    <mergeCell ref="B16:D16"/>
    <mergeCell ref="B17:D17"/>
    <mergeCell ref="B18:D18"/>
    <mergeCell ref="B19:D19"/>
    <mergeCell ref="B38:D38"/>
    <mergeCell ref="B44:E44"/>
    <mergeCell ref="B39:D39"/>
    <mergeCell ref="B40:D40"/>
    <mergeCell ref="B41:D41"/>
    <mergeCell ref="B42:D42"/>
    <mergeCell ref="B43:D43"/>
    <mergeCell ref="B4:E4"/>
    <mergeCell ref="B33:E33"/>
    <mergeCell ref="B34:D34"/>
    <mergeCell ref="B31:C31"/>
    <mergeCell ref="B5:D5"/>
    <mergeCell ref="B13:E13"/>
    <mergeCell ref="C14:D14"/>
    <mergeCell ref="B22:E22"/>
    <mergeCell ref="C23:D23"/>
    <mergeCell ref="C7:D7"/>
    <mergeCell ref="C8:D8"/>
    <mergeCell ref="C9:D9"/>
    <mergeCell ref="C10:D10"/>
    <mergeCell ref="B24:D24"/>
    <mergeCell ref="B12:E12"/>
    <mergeCell ref="B21:E21"/>
    <mergeCell ref="B35:D35"/>
    <mergeCell ref="B36:D36"/>
    <mergeCell ref="B37:D37"/>
    <mergeCell ref="B25:D25"/>
    <mergeCell ref="B26:D26"/>
    <mergeCell ref="B27:D27"/>
    <mergeCell ref="B28:D28"/>
    <mergeCell ref="B29:D29"/>
  </mergeCells>
  <conditionalFormatting sqref="E12 E21">
    <cfRule type="containsText" dxfId="54" priority="31" operator="containsText" text="Not Compliant">
      <formula>NOT(ISERROR(SEARCH("Not Compliant",E12)))</formula>
    </cfRule>
    <cfRule type="containsText" dxfId="53" priority="32" operator="containsText" text="Compliant">
      <formula>NOT(ISERROR(SEARCH("Compliant",E12)))</formula>
    </cfRule>
  </conditionalFormatting>
  <conditionalFormatting sqref="E11">
    <cfRule type="containsText" dxfId="52" priority="19" operator="containsText" text="Not Compliant">
      <formula>NOT(ISERROR(SEARCH("Not Compliant",E11)))</formula>
    </cfRule>
    <cfRule type="containsText" dxfId="51" priority="20" operator="containsText" text="Compliant">
      <formula>NOT(ISERROR(SEARCH("Compliant",E11)))</formula>
    </cfRule>
  </conditionalFormatting>
  <conditionalFormatting sqref="E20">
    <cfRule type="containsText" dxfId="50" priority="17" operator="containsText" text="Not Compliant">
      <formula>NOT(ISERROR(SEARCH("Not Compliant",E20)))</formula>
    </cfRule>
    <cfRule type="containsText" dxfId="49" priority="18" operator="containsText" text="Compliant">
      <formula>NOT(ISERROR(SEARCH("Compliant",E20)))</formula>
    </cfRule>
  </conditionalFormatting>
  <conditionalFormatting sqref="E30">
    <cfRule type="containsText" dxfId="48" priority="15" operator="containsText" text="Not Compliant">
      <formula>NOT(ISERROR(SEARCH("Not Compliant",E30)))</formula>
    </cfRule>
    <cfRule type="containsText" dxfId="47" priority="16" operator="containsText" text="Compliant">
      <formula>NOT(ISERROR(SEARCH("Compliant",E30)))</formula>
    </cfRule>
  </conditionalFormatting>
  <dataValidations count="3">
    <dataValidation type="decimal" sqref="C1" xr:uid="{00000000-0002-0000-2F00-000000000000}">
      <formula1>0</formula1>
      <formula2>3</formula2>
    </dataValidation>
    <dataValidation type="list" sqref="A1 E15:E19 E24:E29 E34:E43" xr:uid="{00000000-0002-0000-2F00-000001000000}">
      <formula1>"☐,☑"</formula1>
    </dataValidation>
    <dataValidation sqref="E8:E10" xr:uid="{33F81927-6E08-4F6C-B9CA-D59A553F7752}"/>
  </dataValidation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E28"/>
  <sheetViews>
    <sheetView workbookViewId="0">
      <selection activeCell="G7" sqref="G7"/>
    </sheetView>
  </sheetViews>
  <sheetFormatPr defaultRowHeight="13.8"/>
  <cols>
    <col min="1" max="1" width="6" style="93" customWidth="1"/>
    <col min="2" max="2" width="39" style="93" customWidth="1"/>
    <col min="3" max="4" width="26" style="93" customWidth="1"/>
    <col min="5" max="5" width="19.09765625" style="93" customWidth="1"/>
    <col min="6" max="16384" width="8.796875" style="93"/>
  </cols>
  <sheetData>
    <row r="1" spans="1:5" ht="17.399999999999999">
      <c r="A1" s="91" t="s">
        <v>134</v>
      </c>
      <c r="B1" s="92" t="s">
        <v>163</v>
      </c>
      <c r="C1" s="9">
        <f>MAX(E10,E18)</f>
        <v>0</v>
      </c>
      <c r="D1" s="92" t="s">
        <v>317</v>
      </c>
      <c r="E1" s="92">
        <f>IF('Project Info'!$C$8="New Hotel",1,1)</f>
        <v>1</v>
      </c>
    </row>
    <row r="2" spans="1:5" ht="21">
      <c r="A2" s="94"/>
      <c r="B2" s="95" t="s">
        <v>102</v>
      </c>
      <c r="C2" s="95"/>
      <c r="D2" s="95"/>
      <c r="E2" s="95" t="s">
        <v>101</v>
      </c>
    </row>
    <row r="3" spans="1:5" ht="15.6">
      <c r="A3" s="94"/>
      <c r="B3" s="96" t="s">
        <v>5</v>
      </c>
      <c r="C3" s="97"/>
      <c r="D3" s="97"/>
      <c r="E3" s="97" t="str">
        <f>HYPERLINK("#'Checklist'!A1","Go To Checklist")</f>
        <v>Go To Checklist</v>
      </c>
    </row>
    <row r="4" spans="1:5" ht="42" customHeight="1">
      <c r="A4" s="94"/>
      <c r="B4" s="533" t="s">
        <v>710</v>
      </c>
      <c r="C4" s="534"/>
      <c r="D4" s="534"/>
      <c r="E4" s="535"/>
    </row>
    <row r="5" spans="1:5" ht="15.6" customHeight="1">
      <c r="A5" s="94"/>
      <c r="B5" s="562" t="s">
        <v>918</v>
      </c>
      <c r="C5" s="562"/>
      <c r="D5" s="562"/>
      <c r="E5" s="98"/>
    </row>
    <row r="6" spans="1:5" ht="15.6">
      <c r="A6" s="94"/>
      <c r="B6" s="732" t="s">
        <v>1142</v>
      </c>
      <c r="C6" s="732"/>
      <c r="D6" s="732"/>
      <c r="E6" s="352" t="s">
        <v>137</v>
      </c>
    </row>
    <row r="7" spans="1:5" ht="28.2" customHeight="1">
      <c r="A7" s="94"/>
      <c r="B7" s="927" t="s">
        <v>1143</v>
      </c>
      <c r="C7" s="927"/>
      <c r="D7" s="927"/>
      <c r="E7" s="205" t="s">
        <v>139</v>
      </c>
    </row>
    <row r="8" spans="1:5" ht="28.8" customHeight="1">
      <c r="A8" s="94"/>
      <c r="B8" s="927" t="s">
        <v>1144</v>
      </c>
      <c r="C8" s="927"/>
      <c r="D8" s="927"/>
      <c r="E8" s="205" t="s">
        <v>139</v>
      </c>
    </row>
    <row r="9" spans="1:5" ht="29.4" customHeight="1">
      <c r="A9" s="94"/>
      <c r="B9" s="927" t="s">
        <v>1145</v>
      </c>
      <c r="C9" s="927"/>
      <c r="D9" s="927"/>
      <c r="E9" s="205" t="s">
        <v>139</v>
      </c>
    </row>
    <row r="10" spans="1:5" ht="19.8" customHeight="1">
      <c r="A10" s="94"/>
      <c r="B10" s="145" t="s">
        <v>329</v>
      </c>
      <c r="C10" s="124" t="s">
        <v>1360</v>
      </c>
      <c r="D10" s="419" t="s">
        <v>6</v>
      </c>
      <c r="E10" s="14">
        <f>IF(COUNTIF(E7:E9,"☑")=3,1,0)</f>
        <v>0</v>
      </c>
    </row>
    <row r="11" spans="1:5" ht="16.2" customHeight="1">
      <c r="A11" s="94"/>
      <c r="B11" s="894" t="s">
        <v>816</v>
      </c>
      <c r="C11" s="894"/>
      <c r="D11" s="894"/>
      <c r="E11" s="894"/>
    </row>
    <row r="12" spans="1:5" ht="17.399999999999999" customHeight="1">
      <c r="A12" s="94"/>
      <c r="B12" s="422" t="s">
        <v>1146</v>
      </c>
      <c r="C12" s="233"/>
      <c r="D12" s="233"/>
      <c r="E12" s="229" t="s">
        <v>137</v>
      </c>
    </row>
    <row r="13" spans="1:5" ht="30.6" customHeight="1">
      <c r="A13" s="94"/>
      <c r="B13" s="927" t="s">
        <v>1147</v>
      </c>
      <c r="C13" s="927"/>
      <c r="D13" s="927"/>
      <c r="E13" s="205" t="s">
        <v>139</v>
      </c>
    </row>
    <row r="14" spans="1:5" ht="30.6" customHeight="1">
      <c r="A14" s="94"/>
      <c r="B14" s="927" t="s">
        <v>1148</v>
      </c>
      <c r="C14" s="927"/>
      <c r="D14" s="927"/>
      <c r="E14" s="205" t="s">
        <v>139</v>
      </c>
    </row>
    <row r="15" spans="1:5" ht="17.399999999999999" customHeight="1">
      <c r="A15" s="94"/>
      <c r="B15" s="927" t="s">
        <v>369</v>
      </c>
      <c r="C15" s="927"/>
      <c r="D15" s="927"/>
      <c r="E15" s="205" t="s">
        <v>139</v>
      </c>
    </row>
    <row r="16" spans="1:5" ht="17.399999999999999" customHeight="1">
      <c r="A16" s="94"/>
      <c r="B16" s="927" t="s">
        <v>370</v>
      </c>
      <c r="C16" s="927"/>
      <c r="D16" s="927"/>
      <c r="E16" s="205" t="s">
        <v>139</v>
      </c>
    </row>
    <row r="17" spans="1:5" ht="17.399999999999999" customHeight="1">
      <c r="A17" s="94"/>
      <c r="B17" s="927" t="s">
        <v>371</v>
      </c>
      <c r="C17" s="927"/>
      <c r="D17" s="927"/>
      <c r="E17" s="205" t="s">
        <v>139</v>
      </c>
    </row>
    <row r="18" spans="1:5">
      <c r="A18" s="94"/>
      <c r="B18" s="145" t="s">
        <v>329</v>
      </c>
      <c r="C18" s="97"/>
      <c r="D18" s="419" t="s">
        <v>6</v>
      </c>
      <c r="E18" s="14">
        <f>IF(COUNTIF(E13:E17,"☑")=5,1,0)</f>
        <v>0</v>
      </c>
    </row>
    <row r="19" spans="1:5">
      <c r="A19" s="94"/>
      <c r="B19" s="539" t="s">
        <v>102</v>
      </c>
      <c r="C19" s="539"/>
      <c r="D19" s="275" t="s">
        <v>189</v>
      </c>
      <c r="E19" s="8">
        <f>C1</f>
        <v>0</v>
      </c>
    </row>
    <row r="20" spans="1:5">
      <c r="A20" s="94"/>
      <c r="B20" s="97"/>
      <c r="C20" s="97"/>
      <c r="D20" s="97"/>
      <c r="E20" s="97"/>
    </row>
    <row r="21" spans="1:5" ht="13.8" customHeight="1">
      <c r="A21" s="94"/>
      <c r="B21" s="537" t="s">
        <v>146</v>
      </c>
      <c r="C21" s="537"/>
      <c r="D21" s="537"/>
      <c r="E21" s="537"/>
    </row>
    <row r="22" spans="1:5" ht="17.399999999999999" customHeight="1">
      <c r="A22" s="103"/>
      <c r="B22" s="538" t="s">
        <v>1149</v>
      </c>
      <c r="C22" s="538"/>
      <c r="D22" s="538"/>
      <c r="E22" s="101" t="s">
        <v>139</v>
      </c>
    </row>
    <row r="23" spans="1:5" ht="17.399999999999999" customHeight="1">
      <c r="A23" s="103"/>
      <c r="B23" s="538" t="s">
        <v>1150</v>
      </c>
      <c r="C23" s="538"/>
      <c r="D23" s="538"/>
      <c r="E23" s="101" t="s">
        <v>139</v>
      </c>
    </row>
    <row r="24" spans="1:5">
      <c r="A24" s="94"/>
      <c r="B24" s="531" t="s">
        <v>147</v>
      </c>
      <c r="C24" s="531"/>
      <c r="D24" s="531"/>
      <c r="E24" s="531"/>
    </row>
    <row r="25" spans="1:5" ht="14.4">
      <c r="A25" s="103"/>
      <c r="B25" s="97"/>
      <c r="C25" s="97"/>
      <c r="D25" s="97"/>
      <c r="E25" s="97"/>
    </row>
    <row r="26" spans="1:5" ht="14.4">
      <c r="A26" s="103"/>
      <c r="B26" s="97"/>
      <c r="C26" s="97"/>
      <c r="D26" s="97"/>
      <c r="E26" s="97"/>
    </row>
    <row r="27" spans="1:5" ht="14.4">
      <c r="A27" s="103"/>
      <c r="B27" s="97"/>
      <c r="C27" s="97"/>
      <c r="D27" s="97"/>
      <c r="E27" s="97"/>
    </row>
    <row r="28" spans="1:5">
      <c r="A28" s="94"/>
      <c r="B28" s="97"/>
      <c r="C28" s="97"/>
      <c r="D28" s="97"/>
      <c r="E28" s="97"/>
    </row>
  </sheetData>
  <sheetProtection sheet="1" objects="1" scenarios="1"/>
  <mergeCells count="17">
    <mergeCell ref="B4:E4"/>
    <mergeCell ref="B11:E11"/>
    <mergeCell ref="B5:D5"/>
    <mergeCell ref="B17:D17"/>
    <mergeCell ref="B24:E24"/>
    <mergeCell ref="B23:D23"/>
    <mergeCell ref="B21:E21"/>
    <mergeCell ref="B22:D22"/>
    <mergeCell ref="B6:D6"/>
    <mergeCell ref="B7:D7"/>
    <mergeCell ref="B8:D8"/>
    <mergeCell ref="B9:D9"/>
    <mergeCell ref="B13:D13"/>
    <mergeCell ref="B14:D14"/>
    <mergeCell ref="B15:D15"/>
    <mergeCell ref="B16:D16"/>
    <mergeCell ref="B19:C19"/>
  </mergeCells>
  <conditionalFormatting sqref="E11">
    <cfRule type="containsText" dxfId="46" priority="21" operator="containsText" text="Not Compliant">
      <formula>NOT(ISERROR(SEARCH("Not Compliant",E11)))</formula>
    </cfRule>
    <cfRule type="containsText" dxfId="45" priority="22" operator="containsText" text="Compliant">
      <formula>NOT(ISERROR(SEARCH("Compliant",E11)))</formula>
    </cfRule>
  </conditionalFormatting>
  <conditionalFormatting sqref="E10">
    <cfRule type="containsText" dxfId="44" priority="7" operator="containsText" text="Not Compliant">
      <formula>NOT(ISERROR(SEARCH("Not Compliant",E10)))</formula>
    </cfRule>
    <cfRule type="containsText" dxfId="43" priority="8" operator="containsText" text="Compliant">
      <formula>NOT(ISERROR(SEARCH("Compliant",E10)))</formula>
    </cfRule>
  </conditionalFormatting>
  <conditionalFormatting sqref="E18">
    <cfRule type="containsText" dxfId="42" priority="3" operator="containsText" text="Not Compliant">
      <formula>NOT(ISERROR(SEARCH("Not Compliant",E18)))</formula>
    </cfRule>
    <cfRule type="containsText" dxfId="41" priority="4" operator="containsText" text="Compliant">
      <formula>NOT(ISERROR(SEARCH("Compliant",E18)))</formula>
    </cfRule>
  </conditionalFormatting>
  <dataValidations count="2">
    <dataValidation type="decimal" sqref="C1" xr:uid="{00000000-0002-0000-3000-000000000000}">
      <formula1>0</formula1>
      <formula2>1</formula2>
    </dataValidation>
    <dataValidation type="list" sqref="A1 E22:E23 E13:E17 E7:E9" xr:uid="{00000000-0002-0000-3000-000001000000}">
      <formula1>"☐,☑"</formula1>
    </dataValidation>
  </dataValidation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E30"/>
  <sheetViews>
    <sheetView workbookViewId="0">
      <selection activeCell="E3" sqref="E3"/>
    </sheetView>
  </sheetViews>
  <sheetFormatPr defaultRowHeight="13.8"/>
  <cols>
    <col min="1" max="1" width="6" style="93" customWidth="1"/>
    <col min="2" max="2" width="39" style="93" customWidth="1"/>
    <col min="3" max="4" width="26" style="93" customWidth="1"/>
    <col min="5" max="5" width="18" style="93" customWidth="1"/>
    <col min="6" max="16384" width="8.796875" style="93"/>
  </cols>
  <sheetData>
    <row r="1" spans="1:5" ht="17.399999999999999">
      <c r="A1" s="91" t="s">
        <v>134</v>
      </c>
      <c r="B1" s="92" t="s">
        <v>163</v>
      </c>
      <c r="C1" s="9">
        <f>E19</f>
        <v>0</v>
      </c>
      <c r="D1" s="92" t="s">
        <v>317</v>
      </c>
      <c r="E1" s="92">
        <f>IF('Project Info'!$C$8="New Hotel",1,1)</f>
        <v>1</v>
      </c>
    </row>
    <row r="2" spans="1:5" ht="42">
      <c r="A2" s="94"/>
      <c r="B2" s="95" t="s">
        <v>104</v>
      </c>
      <c r="C2" s="95"/>
      <c r="D2" s="95"/>
      <c r="E2" s="95" t="s">
        <v>103</v>
      </c>
    </row>
    <row r="3" spans="1:5" ht="15.6">
      <c r="A3" s="94"/>
      <c r="B3" s="96" t="s">
        <v>5</v>
      </c>
      <c r="C3" s="97"/>
      <c r="D3" s="97"/>
      <c r="E3" s="97" t="str">
        <f>HYPERLINK("#'Checklist'!A1","Go To Checklist")</f>
        <v>Go To Checklist</v>
      </c>
    </row>
    <row r="4" spans="1:5" ht="54.6" customHeight="1">
      <c r="A4" s="94"/>
      <c r="B4" s="533" t="s">
        <v>710</v>
      </c>
      <c r="C4" s="534"/>
      <c r="D4" s="534"/>
      <c r="E4" s="535"/>
    </row>
    <row r="5" spans="1:5" ht="15.6" customHeight="1">
      <c r="A5" s="94"/>
      <c r="B5" s="562" t="s">
        <v>918</v>
      </c>
      <c r="C5" s="562"/>
      <c r="D5" s="562"/>
      <c r="E5" s="98"/>
    </row>
    <row r="6" spans="1:5" ht="15.6" customHeight="1">
      <c r="A6" s="94"/>
      <c r="B6" s="950" t="s">
        <v>1151</v>
      </c>
      <c r="C6" s="950"/>
      <c r="D6" s="950"/>
      <c r="E6" s="950"/>
    </row>
    <row r="7" spans="1:5">
      <c r="A7" s="94"/>
      <c r="B7" s="109" t="s">
        <v>940</v>
      </c>
      <c r="C7" s="741" t="s">
        <v>622</v>
      </c>
      <c r="D7" s="741"/>
      <c r="E7" s="110" t="s">
        <v>829</v>
      </c>
    </row>
    <row r="8" spans="1:5" ht="15.6">
      <c r="A8" s="94"/>
      <c r="B8" s="158" t="s">
        <v>1610</v>
      </c>
      <c r="C8" s="948" t="s">
        <v>1064</v>
      </c>
      <c r="D8" s="948"/>
      <c r="E8" s="511">
        <f>'Project Info'!C21</f>
        <v>0</v>
      </c>
    </row>
    <row r="9" spans="1:5" ht="16.8" customHeight="1">
      <c r="A9" s="94"/>
      <c r="B9" s="158" t="s">
        <v>1374</v>
      </c>
      <c r="C9" s="948" t="s">
        <v>1064</v>
      </c>
      <c r="D9" s="948"/>
      <c r="E9" s="502">
        <v>0</v>
      </c>
    </row>
    <row r="10" spans="1:5" ht="16.8" customHeight="1">
      <c r="A10" s="94"/>
      <c r="B10" s="503" t="s">
        <v>169</v>
      </c>
      <c r="C10" s="949" t="s">
        <v>170</v>
      </c>
      <c r="D10" s="949"/>
      <c r="E10" s="504">
        <f>IFERROR(E9/E8,0)</f>
        <v>0</v>
      </c>
    </row>
    <row r="11" spans="1:5" ht="17.399999999999999" customHeight="1">
      <c r="A11" s="94"/>
      <c r="B11" s="951" t="s">
        <v>1376</v>
      </c>
      <c r="C11" s="951"/>
      <c r="D11" s="951"/>
      <c r="E11" s="951"/>
    </row>
    <row r="12" spans="1:5" ht="17.399999999999999" customHeight="1">
      <c r="A12" s="94"/>
      <c r="B12" s="927" t="s">
        <v>1152</v>
      </c>
      <c r="C12" s="927"/>
      <c r="D12" s="927"/>
      <c r="E12" s="205" t="s">
        <v>134</v>
      </c>
    </row>
    <row r="13" spans="1:5" ht="17.399999999999999" customHeight="1">
      <c r="A13" s="94"/>
      <c r="B13" s="927" t="s">
        <v>1153</v>
      </c>
      <c r="C13" s="927"/>
      <c r="D13" s="927"/>
      <c r="E13" s="205" t="s">
        <v>134</v>
      </c>
    </row>
    <row r="14" spans="1:5" ht="17.399999999999999" customHeight="1">
      <c r="A14" s="94"/>
      <c r="B14" s="927" t="s">
        <v>1154</v>
      </c>
      <c r="C14" s="927"/>
      <c r="D14" s="927"/>
      <c r="E14" s="205" t="s">
        <v>134</v>
      </c>
    </row>
    <row r="15" spans="1:5" ht="17.399999999999999" customHeight="1">
      <c r="A15" s="94"/>
      <c r="B15" s="927" t="s">
        <v>1155</v>
      </c>
      <c r="C15" s="927"/>
      <c r="D15" s="927"/>
      <c r="E15" s="205" t="s">
        <v>134</v>
      </c>
    </row>
    <row r="16" spans="1:5" ht="17.399999999999999">
      <c r="A16" s="94"/>
      <c r="B16" s="927" t="s">
        <v>1156</v>
      </c>
      <c r="C16" s="927"/>
      <c r="D16" s="927"/>
      <c r="E16" s="205" t="s">
        <v>134</v>
      </c>
    </row>
    <row r="17" spans="1:5" ht="13.8" customHeight="1">
      <c r="A17" s="94"/>
      <c r="B17" s="927" t="s">
        <v>1157</v>
      </c>
      <c r="C17" s="927"/>
      <c r="D17" s="927"/>
      <c r="E17" s="205" t="s">
        <v>134</v>
      </c>
    </row>
    <row r="18" spans="1:5" ht="29.4" customHeight="1">
      <c r="A18" s="94"/>
      <c r="B18" s="927" t="s">
        <v>1158</v>
      </c>
      <c r="C18" s="927"/>
      <c r="D18" s="927"/>
      <c r="E18" s="205" t="s">
        <v>134</v>
      </c>
    </row>
    <row r="19" spans="1:5" ht="17.399999999999999" customHeight="1">
      <c r="A19" s="94"/>
      <c r="B19" s="145" t="s">
        <v>329</v>
      </c>
      <c r="C19" s="124" t="s">
        <v>1375</v>
      </c>
      <c r="D19" s="419" t="s">
        <v>6</v>
      </c>
      <c r="E19" s="14">
        <f>IF(AND(OR(E10&gt;=2%),COUNTIF(E12:E18,"☑")=7),1,0)</f>
        <v>0</v>
      </c>
    </row>
    <row r="20" spans="1:5" ht="17.399999999999999" customHeight="1">
      <c r="A20" s="94"/>
      <c r="B20" s="539" t="s">
        <v>104</v>
      </c>
      <c r="C20" s="539"/>
      <c r="D20" s="275" t="s">
        <v>189</v>
      </c>
      <c r="E20" s="8">
        <f>C1</f>
        <v>0</v>
      </c>
    </row>
    <row r="21" spans="1:5">
      <c r="A21" s="94"/>
      <c r="B21" s="97"/>
      <c r="C21" s="97"/>
      <c r="D21" s="97"/>
      <c r="E21" s="97"/>
    </row>
    <row r="22" spans="1:5">
      <c r="A22" s="94"/>
      <c r="B22" s="537" t="s">
        <v>146</v>
      </c>
      <c r="C22" s="537"/>
      <c r="D22" s="537"/>
      <c r="E22" s="537"/>
    </row>
    <row r="23" spans="1:5" ht="17.399999999999999">
      <c r="A23" s="103"/>
      <c r="B23" s="538" t="s">
        <v>711</v>
      </c>
      <c r="C23" s="538"/>
      <c r="D23" s="538"/>
      <c r="E23" s="101" t="s">
        <v>139</v>
      </c>
    </row>
    <row r="24" spans="1:5" ht="17.399999999999999">
      <c r="A24" s="103"/>
      <c r="B24" s="538" t="s">
        <v>712</v>
      </c>
      <c r="C24" s="538"/>
      <c r="D24" s="538"/>
      <c r="E24" s="101" t="s">
        <v>139</v>
      </c>
    </row>
    <row r="25" spans="1:5" ht="14.4">
      <c r="A25" s="103"/>
      <c r="B25" s="531" t="s">
        <v>147</v>
      </c>
      <c r="C25" s="531"/>
      <c r="D25" s="531"/>
      <c r="E25" s="531"/>
    </row>
    <row r="26" spans="1:5" ht="14.4">
      <c r="A26" s="114"/>
      <c r="B26" s="97"/>
      <c r="C26" s="97"/>
      <c r="D26" s="97"/>
      <c r="E26" s="97"/>
    </row>
    <row r="27" spans="1:5" ht="14.4">
      <c r="A27" s="103"/>
      <c r="B27" s="97"/>
      <c r="C27" s="97"/>
      <c r="D27" s="97"/>
      <c r="E27" s="97"/>
    </row>
    <row r="28" spans="1:5" ht="14.4">
      <c r="A28" s="103"/>
      <c r="B28" s="97"/>
      <c r="C28" s="97"/>
      <c r="D28" s="97"/>
      <c r="E28" s="97"/>
    </row>
    <row r="29" spans="1:5">
      <c r="B29" s="97"/>
      <c r="C29" s="97"/>
      <c r="D29" s="97"/>
      <c r="E29" s="97"/>
    </row>
    <row r="30" spans="1:5">
      <c r="B30" s="97"/>
      <c r="C30" s="97"/>
      <c r="D30" s="97"/>
      <c r="E30" s="97"/>
    </row>
  </sheetData>
  <sheetProtection sheet="1" objects="1" scenarios="1"/>
  <mergeCells count="20">
    <mergeCell ref="B12:D12"/>
    <mergeCell ref="B25:E25"/>
    <mergeCell ref="B23:D23"/>
    <mergeCell ref="B11:E11"/>
    <mergeCell ref="B16:D16"/>
    <mergeCell ref="B17:D17"/>
    <mergeCell ref="B18:D18"/>
    <mergeCell ref="B20:C20"/>
    <mergeCell ref="B24:D24"/>
    <mergeCell ref="B22:E22"/>
    <mergeCell ref="B13:D13"/>
    <mergeCell ref="B14:D14"/>
    <mergeCell ref="B15:D15"/>
    <mergeCell ref="C8:D8"/>
    <mergeCell ref="C9:D9"/>
    <mergeCell ref="C10:D10"/>
    <mergeCell ref="B5:D5"/>
    <mergeCell ref="B4:E4"/>
    <mergeCell ref="B6:E6"/>
    <mergeCell ref="C7:D7"/>
  </mergeCells>
  <conditionalFormatting sqref="E19">
    <cfRule type="containsText" dxfId="40" priority="5" operator="containsText" text="Not Compliant">
      <formula>NOT(ISERROR(SEARCH("Not Compliant",E19)))</formula>
    </cfRule>
    <cfRule type="containsText" dxfId="39" priority="6" operator="containsText" text="Compliant">
      <formula>NOT(ISERROR(SEARCH("Compliant",E19)))</formula>
    </cfRule>
  </conditionalFormatting>
  <dataValidations count="3">
    <dataValidation type="decimal" sqref="C1" xr:uid="{00000000-0002-0000-3100-000000000000}">
      <formula1>0</formula1>
      <formula2>1</formula2>
    </dataValidation>
    <dataValidation type="list" sqref="A1 E12:E18 E23:E24" xr:uid="{00000000-0002-0000-3100-000001000000}">
      <formula1>"☐,☑"</formula1>
    </dataValidation>
    <dataValidation sqref="E8:E10" xr:uid="{F8A8002F-8A0B-4247-B8E5-3E5E6649416B}"/>
  </dataValidation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A1:H68"/>
  <sheetViews>
    <sheetView topLeftCell="A4" zoomScale="80" zoomScaleNormal="80" workbookViewId="0">
      <selection activeCell="J16" sqref="J16"/>
    </sheetView>
  </sheetViews>
  <sheetFormatPr defaultRowHeight="13.8"/>
  <cols>
    <col min="1" max="1" width="6" style="93" customWidth="1"/>
    <col min="2" max="2" width="23.59765625" style="93" customWidth="1"/>
    <col min="3" max="3" width="17.59765625" style="93" customWidth="1"/>
    <col min="4" max="7" width="19.59765625" style="93" customWidth="1"/>
    <col min="8" max="8" width="18" style="93" customWidth="1"/>
    <col min="9" max="16384" width="8.796875" style="93"/>
  </cols>
  <sheetData>
    <row r="1" spans="1:8" ht="17.399999999999999">
      <c r="A1" s="91" t="s">
        <v>134</v>
      </c>
      <c r="B1" s="707" t="s">
        <v>163</v>
      </c>
      <c r="C1" s="707"/>
      <c r="D1" s="832">
        <f>G17+G29+G42</f>
        <v>0</v>
      </c>
      <c r="E1" s="832"/>
      <c r="F1" s="832"/>
      <c r="G1" s="92" t="s">
        <v>317</v>
      </c>
      <c r="H1" s="92">
        <f>IF('Project Info'!$C$8="New Hotel",3,3)</f>
        <v>3</v>
      </c>
    </row>
    <row r="2" spans="1:8" ht="36.9" customHeight="1">
      <c r="A2" s="94"/>
      <c r="B2" s="610" t="s">
        <v>106</v>
      </c>
      <c r="C2" s="610"/>
      <c r="D2" s="95"/>
      <c r="E2" s="95"/>
      <c r="F2" s="95"/>
      <c r="G2" s="95"/>
      <c r="H2" s="95" t="s">
        <v>105</v>
      </c>
    </row>
    <row r="3" spans="1:8" ht="19.2" customHeight="1">
      <c r="A3" s="94"/>
      <c r="B3" s="96" t="s">
        <v>5</v>
      </c>
      <c r="C3" s="97"/>
      <c r="D3" s="97"/>
      <c r="E3" s="97"/>
      <c r="F3" s="97"/>
      <c r="G3" s="97"/>
      <c r="H3" s="97" t="str">
        <f>HYPERLINK("#'Checklist'!A1","Go To Checklist")</f>
        <v>Go To Checklist</v>
      </c>
    </row>
    <row r="4" spans="1:8" ht="55.8" customHeight="1">
      <c r="A4" s="94"/>
      <c r="B4" s="752" t="s">
        <v>710</v>
      </c>
      <c r="C4" s="753"/>
      <c r="D4" s="753"/>
      <c r="E4" s="753"/>
      <c r="F4" s="753"/>
      <c r="G4" s="753"/>
      <c r="H4" s="753"/>
    </row>
    <row r="5" spans="1:8" ht="15" customHeight="1">
      <c r="A5" s="94"/>
      <c r="B5" s="528" t="s">
        <v>918</v>
      </c>
      <c r="C5" s="528"/>
      <c r="D5" s="528"/>
      <c r="E5" s="464"/>
      <c r="F5" s="463"/>
      <c r="G5" s="463"/>
      <c r="H5" s="98"/>
    </row>
    <row r="6" spans="1:8" ht="15.6" customHeight="1">
      <c r="A6" s="94"/>
      <c r="B6" s="692" t="s">
        <v>1159</v>
      </c>
      <c r="C6" s="692"/>
      <c r="D6" s="692"/>
      <c r="E6" s="692"/>
      <c r="F6" s="692"/>
      <c r="G6" s="692"/>
      <c r="H6" s="229"/>
    </row>
    <row r="7" spans="1:8" ht="42.6" customHeight="1">
      <c r="A7" s="94"/>
      <c r="B7" s="529" t="s">
        <v>1160</v>
      </c>
      <c r="C7" s="529"/>
      <c r="D7" s="529"/>
      <c r="E7" s="529"/>
      <c r="F7" s="529"/>
      <c r="G7" s="529"/>
      <c r="H7" s="529"/>
    </row>
    <row r="8" spans="1:8" ht="36" customHeight="1">
      <c r="A8" s="94"/>
      <c r="B8" s="505" t="s">
        <v>1611</v>
      </c>
      <c r="C8" s="201" t="s">
        <v>1612</v>
      </c>
      <c r="D8" s="201" t="s">
        <v>1613</v>
      </c>
      <c r="E8" s="201" t="s">
        <v>1618</v>
      </c>
      <c r="F8" s="201" t="s">
        <v>368</v>
      </c>
      <c r="G8" s="506" t="s">
        <v>1614</v>
      </c>
      <c r="H8" s="201" t="s">
        <v>1115</v>
      </c>
    </row>
    <row r="9" spans="1:8" ht="18" customHeight="1">
      <c r="A9" s="94"/>
      <c r="B9" s="147" t="s">
        <v>388</v>
      </c>
      <c r="C9" s="143" t="s">
        <v>984</v>
      </c>
      <c r="D9" s="143" t="s">
        <v>1615</v>
      </c>
      <c r="E9" s="143">
        <v>12</v>
      </c>
      <c r="F9" s="143" t="str" cm="1">
        <f t="array" ref="F9">IF(D9="","",_xlfn.IFS(D9="CO2","Ambient + 500 ppm",D9="PM2.5","&lt;25 µg/m³",D9="PM10","&lt;100 µg/m³",D9="TVOC","&lt;400 µg/m³",D9="CO","&lt;9 ppm",D9="NO2","&lt;80 µg/m³",D9="SO2","&lt;80 µg/m³"))</f>
        <v>Ambient + 500 ppm</v>
      </c>
      <c r="G9" s="143">
        <v>25</v>
      </c>
      <c r="H9" s="508" t="str">
        <f>IF(G9="","",IF(D9="CO2",IF(G9&lt;=E9+500,"Compliant","Not Compliant"),IF(D9="PM2.5",IF(G9&lt;25,"Compliant","Not Compliant"),IF(D9="PM10",IF(G9&lt;100,"Compliant","Not Compliant"),IF(D9="TVOC",IF(G9&lt;400,"Compliant","Not Compliant"),IF(D9="CO",IF(G9&lt;9,"Compliant","Not Compliant"),IF(OR(D9="NO2",D9="SO2"),IF(G9&lt;80,"Compliant","Not Compliant"),"")))))))</f>
        <v>Compliant</v>
      </c>
    </row>
    <row r="10" spans="1:8" ht="18" customHeight="1">
      <c r="A10" s="94"/>
      <c r="B10" s="147" t="s">
        <v>390</v>
      </c>
      <c r="C10" s="143" t="s">
        <v>984</v>
      </c>
      <c r="D10" s="143" t="s">
        <v>375</v>
      </c>
      <c r="E10" s="143"/>
      <c r="F10" s="143" t="str" cm="1">
        <f t="array" ref="F10">IF(D10="","",_xlfn.IFS(D10="CO2","Ambient + 500 ppm",D10="PM2.5","&lt;25 µg/m³",D10="PM10","&lt;100 µg/m³",D10="TVOC","&lt;400 µg/m³",D10="CO","&lt;9 ppm",D10="NO2","&lt;80 µg/m³",D10="SO2","&lt;80 µg/m³"))</f>
        <v>&lt;25 µg/m³</v>
      </c>
      <c r="G10" s="143">
        <v>20</v>
      </c>
      <c r="H10" s="508" t="str">
        <f t="shared" ref="H10:H16" si="0">IF(G10="","",IF(D10="CO2",IF(G10&lt;=E10+500,"Compliant","Not Compliant"),IF(D10="PM2.5",IF(G10&lt;25,"Compliant","Not Compliant"),IF(D10="PM10",IF(G10&lt;100,"Compliant","Not Compliant"),IF(D10="TVOC",IF(G10&lt;400,"Compliant","Not Compliant"),IF(D10="CO",IF(G10&lt;9,"Compliant","Not Compliant"),IF(OR(D10="NO2",D10="SO2"),IF(G10&lt;80,"Compliant","Not Compliant"),"")))))))</f>
        <v>Compliant</v>
      </c>
    </row>
    <row r="11" spans="1:8" ht="15.6" customHeight="1">
      <c r="A11" s="94"/>
      <c r="B11" s="147" t="s">
        <v>392</v>
      </c>
      <c r="C11" s="143" t="s">
        <v>984</v>
      </c>
      <c r="D11" s="143" t="s">
        <v>377</v>
      </c>
      <c r="E11" s="143"/>
      <c r="F11" s="143" t="str" cm="1">
        <f t="array" ref="F11">IF(D11="","",_xlfn.IFS(D11="CO2","Ambient + 500 ppm",D11="PM2.5","&lt;25 µg/m³",D11="PM10","&lt;100 µg/m³",D11="TVOC","&lt;400 µg/m³",D11="CO","&lt;9 ppm",D11="NO2","&lt;80 µg/m³",D11="SO2","&lt;80 µg/m³"))</f>
        <v>&lt;100 µg/m³</v>
      </c>
      <c r="G11" s="143"/>
      <c r="H11" s="508" t="str">
        <f t="shared" si="0"/>
        <v/>
      </c>
    </row>
    <row r="12" spans="1:8" ht="15.6" customHeight="1">
      <c r="A12" s="94"/>
      <c r="B12" s="147" t="s">
        <v>394</v>
      </c>
      <c r="C12" s="143" t="s">
        <v>984</v>
      </c>
      <c r="D12" s="143" t="s">
        <v>379</v>
      </c>
      <c r="E12" s="143"/>
      <c r="F12" s="143" t="str" cm="1">
        <f t="array" ref="F12">IF(D12="","",_xlfn.IFS(D12="CO2","Ambient + 500 ppm",D12="PM2.5","&lt;25 µg/m³",D12="PM10","&lt;100 µg/m³",D12="TVOC","&lt;400 µg/m³",D12="CO","&lt;9 ppm",D12="NO2","&lt;80 µg/m³",D12="SO2","&lt;80 µg/m³"))</f>
        <v>&lt;400 µg/m³</v>
      </c>
      <c r="G12" s="143"/>
      <c r="H12" s="508" t="str">
        <f t="shared" si="0"/>
        <v/>
      </c>
    </row>
    <row r="13" spans="1:8" ht="17.399999999999999" customHeight="1">
      <c r="A13" s="94"/>
      <c r="B13" s="147" t="s">
        <v>396</v>
      </c>
      <c r="C13" s="143" t="s">
        <v>984</v>
      </c>
      <c r="D13" s="143" t="s">
        <v>379</v>
      </c>
      <c r="E13" s="143"/>
      <c r="F13" s="143" t="str" cm="1">
        <f t="array" ref="F13">IF(D13="","",_xlfn.IFS(D13="CO2","Ambient + 500 ppm",D13="PM2.5","&lt;25 µg/m³",D13="PM10","&lt;100 µg/m³",D13="TVOC","&lt;400 µg/m³",D13="CO","&lt;9 ppm",D13="NO2","&lt;80 µg/m³",D13="SO2","&lt;80 µg/m³"))</f>
        <v>&lt;400 µg/m³</v>
      </c>
      <c r="G13" s="143"/>
      <c r="H13" s="508" t="str">
        <f t="shared" si="0"/>
        <v/>
      </c>
    </row>
    <row r="14" spans="1:8" ht="19.2" customHeight="1">
      <c r="A14" s="94"/>
      <c r="B14" s="147" t="s">
        <v>397</v>
      </c>
      <c r="C14" s="143" t="s">
        <v>984</v>
      </c>
      <c r="D14" s="143" t="s">
        <v>381</v>
      </c>
      <c r="E14" s="143"/>
      <c r="F14" s="143" t="str" cm="1">
        <f t="array" ref="F14">IF(D14="","",_xlfn.IFS(D14="CO2","Ambient + 500 ppm",D14="PM2.5","&lt;25 µg/m³",D14="PM10","&lt;100 µg/m³",D14="TVOC","&lt;400 µg/m³",D14="CO","&lt;9 ppm",D14="NO2","&lt;80 µg/m³",D14="SO2","&lt;80 µg/m³"))</f>
        <v>&lt;9 ppm</v>
      </c>
      <c r="G14" s="143"/>
      <c r="H14" s="508" t="str">
        <f t="shared" si="0"/>
        <v/>
      </c>
    </row>
    <row r="15" spans="1:8" ht="17.399999999999999" customHeight="1">
      <c r="A15" s="94"/>
      <c r="B15" s="147" t="s">
        <v>399</v>
      </c>
      <c r="C15" s="143" t="s">
        <v>984</v>
      </c>
      <c r="D15" s="143" t="s">
        <v>1616</v>
      </c>
      <c r="E15" s="143"/>
      <c r="F15" s="143" t="str" cm="1">
        <f t="array" ref="F15">IF(D15="","",_xlfn.IFS(D15="CO2","Ambient + 500 ppm",D15="PM2.5","&lt;25 µg/m³",D15="PM10","&lt;100 µg/m³",D15="TVOC","&lt;400 µg/m³",D15="CO","&lt;9 ppm",D15="NO2","&lt;80 µg/m³",D15="SO2","&lt;80 µg/m³"))</f>
        <v>&lt;80 µg/m³</v>
      </c>
      <c r="G15" s="143"/>
      <c r="H15" s="508" t="str">
        <f t="shared" si="0"/>
        <v/>
      </c>
    </row>
    <row r="16" spans="1:8" ht="17.399999999999999" customHeight="1">
      <c r="A16" s="94"/>
      <c r="B16" s="147" t="s">
        <v>400</v>
      </c>
      <c r="C16" s="143" t="s">
        <v>984</v>
      </c>
      <c r="D16" s="143" t="s">
        <v>1617</v>
      </c>
      <c r="E16" s="143"/>
      <c r="F16" s="143" t="str" cm="1">
        <f t="array" ref="F16">IF(D16="","",_xlfn.IFS(D16="CO2","Ambient + 500 ppm",D16="PM2.5","&lt;25 µg/m³",D16="PM10","&lt;100 µg/m³",D16="TVOC","&lt;400 µg/m³",D16="CO","&lt;9 ppm",D16="NO2","&lt;80 µg/m³",D16="SO2","&lt;80 µg/m³"))</f>
        <v>&lt;80 µg/m³</v>
      </c>
      <c r="G16" s="143"/>
      <c r="H16" s="508" t="str">
        <f t="shared" si="0"/>
        <v/>
      </c>
    </row>
    <row r="17" spans="1:8" ht="49.8" customHeight="1">
      <c r="A17" s="94"/>
      <c r="B17" s="151" t="s">
        <v>329</v>
      </c>
      <c r="C17" s="595" t="s">
        <v>1377</v>
      </c>
      <c r="D17" s="595"/>
      <c r="E17" s="595"/>
      <c r="F17" s="465" t="s">
        <v>6</v>
      </c>
      <c r="G17" s="590">
        <f>IF(COUNTIF(H9:H16,"Compliant")&gt;=4,1,0)</f>
        <v>0</v>
      </c>
      <c r="H17" s="590"/>
    </row>
    <row r="18" spans="1:8" ht="16.2" customHeight="1">
      <c r="A18" s="94"/>
      <c r="B18" s="616" t="s">
        <v>917</v>
      </c>
      <c r="C18" s="616"/>
      <c r="D18" s="616"/>
      <c r="E18" s="616"/>
      <c r="F18" s="616"/>
      <c r="G18" s="616"/>
      <c r="H18" s="616"/>
    </row>
    <row r="19" spans="1:8" ht="17.399999999999999" customHeight="1">
      <c r="A19" s="94"/>
      <c r="B19" s="827" t="s">
        <v>1161</v>
      </c>
      <c r="C19" s="827"/>
      <c r="D19" s="827"/>
      <c r="E19" s="827"/>
      <c r="F19" s="827"/>
      <c r="G19" s="827"/>
      <c r="H19" s="229"/>
    </row>
    <row r="20" spans="1:8" ht="34.200000000000003" customHeight="1">
      <c r="A20" s="94"/>
      <c r="B20" s="529" t="s">
        <v>1162</v>
      </c>
      <c r="C20" s="529"/>
      <c r="D20" s="529"/>
      <c r="E20" s="529"/>
      <c r="F20" s="529"/>
      <c r="G20" s="529"/>
      <c r="H20" s="529"/>
    </row>
    <row r="21" spans="1:8" ht="19.95" customHeight="1">
      <c r="A21" s="94"/>
      <c r="B21" s="762" t="s">
        <v>372</v>
      </c>
      <c r="C21" s="762"/>
      <c r="D21" s="762" t="s">
        <v>368</v>
      </c>
      <c r="E21" s="762"/>
      <c r="F21" s="762"/>
      <c r="G21" s="954" t="s">
        <v>137</v>
      </c>
      <c r="H21" s="954"/>
    </row>
    <row r="22" spans="1:8" ht="19.95" customHeight="1">
      <c r="A22" s="94"/>
      <c r="B22" s="701" t="s">
        <v>373</v>
      </c>
      <c r="C22" s="701"/>
      <c r="D22" s="701" t="s">
        <v>374</v>
      </c>
      <c r="E22" s="701"/>
      <c r="F22" s="701"/>
      <c r="G22" s="622" t="s">
        <v>139</v>
      </c>
      <c r="H22" s="622"/>
    </row>
    <row r="23" spans="1:8" ht="19.95" customHeight="1">
      <c r="A23" s="94"/>
      <c r="B23" s="701" t="s">
        <v>375</v>
      </c>
      <c r="C23" s="701"/>
      <c r="D23" s="701" t="s">
        <v>376</v>
      </c>
      <c r="E23" s="701"/>
      <c r="F23" s="701"/>
      <c r="G23" s="622" t="s">
        <v>139</v>
      </c>
      <c r="H23" s="622"/>
    </row>
    <row r="24" spans="1:8" ht="19.95" customHeight="1">
      <c r="A24" s="94"/>
      <c r="B24" s="701" t="s">
        <v>377</v>
      </c>
      <c r="C24" s="701"/>
      <c r="D24" s="701" t="s">
        <v>378</v>
      </c>
      <c r="E24" s="701"/>
      <c r="F24" s="701"/>
      <c r="G24" s="622" t="s">
        <v>139</v>
      </c>
      <c r="H24" s="622"/>
    </row>
    <row r="25" spans="1:8" ht="19.95" customHeight="1">
      <c r="A25" s="94"/>
      <c r="B25" s="701" t="s">
        <v>379</v>
      </c>
      <c r="C25" s="701"/>
      <c r="D25" s="701" t="s">
        <v>380</v>
      </c>
      <c r="E25" s="701"/>
      <c r="F25" s="701"/>
      <c r="G25" s="622" t="s">
        <v>139</v>
      </c>
      <c r="H25" s="622"/>
    </row>
    <row r="26" spans="1:8" ht="19.95" customHeight="1">
      <c r="A26" s="94"/>
      <c r="B26" s="701" t="s">
        <v>381</v>
      </c>
      <c r="C26" s="701"/>
      <c r="D26" s="701" t="s">
        <v>382</v>
      </c>
      <c r="E26" s="701"/>
      <c r="F26" s="701"/>
      <c r="G26" s="622" t="s">
        <v>139</v>
      </c>
      <c r="H26" s="622"/>
    </row>
    <row r="27" spans="1:8" ht="19.95" customHeight="1">
      <c r="A27" s="94"/>
      <c r="B27" s="701" t="s">
        <v>383</v>
      </c>
      <c r="C27" s="701"/>
      <c r="D27" s="701" t="s">
        <v>384</v>
      </c>
      <c r="E27" s="701"/>
      <c r="F27" s="701"/>
      <c r="G27" s="622" t="s">
        <v>139</v>
      </c>
      <c r="H27" s="622"/>
    </row>
    <row r="28" spans="1:8" ht="20.399999999999999" customHeight="1">
      <c r="A28" s="94"/>
      <c r="B28" s="701" t="s">
        <v>385</v>
      </c>
      <c r="C28" s="701"/>
      <c r="D28" s="701" t="s">
        <v>384</v>
      </c>
      <c r="E28" s="701"/>
      <c r="F28" s="701"/>
      <c r="G28" s="622" t="s">
        <v>139</v>
      </c>
      <c r="H28" s="622"/>
    </row>
    <row r="29" spans="1:8" ht="46.2" customHeight="1">
      <c r="A29" s="94"/>
      <c r="B29" s="151" t="s">
        <v>329</v>
      </c>
      <c r="C29" s="595" t="s">
        <v>1377</v>
      </c>
      <c r="D29" s="595"/>
      <c r="E29" s="595"/>
      <c r="F29" s="465" t="s">
        <v>6</v>
      </c>
      <c r="G29" s="590">
        <f>IF(COUNTIF(G22:G28,"☑")=4,1,0)</f>
        <v>0</v>
      </c>
      <c r="H29" s="590"/>
    </row>
    <row r="30" spans="1:8" ht="19.95" customHeight="1">
      <c r="A30" s="94"/>
      <c r="B30" s="616" t="s">
        <v>917</v>
      </c>
      <c r="C30" s="616"/>
      <c r="D30" s="616"/>
      <c r="E30" s="616"/>
      <c r="F30" s="616"/>
      <c r="G30" s="616"/>
      <c r="H30" s="616"/>
    </row>
    <row r="31" spans="1:8" ht="15" customHeight="1">
      <c r="A31" s="94"/>
      <c r="B31" s="827" t="s">
        <v>1163</v>
      </c>
      <c r="C31" s="827"/>
      <c r="D31" s="827"/>
      <c r="E31" s="827"/>
      <c r="F31" s="827"/>
      <c r="G31" s="827"/>
      <c r="H31" s="827"/>
    </row>
    <row r="32" spans="1:8" ht="32.4" customHeight="1">
      <c r="A32" s="94"/>
      <c r="B32" s="529" t="s">
        <v>1164</v>
      </c>
      <c r="C32" s="529"/>
      <c r="D32" s="529"/>
      <c r="E32" s="529"/>
      <c r="F32" s="529"/>
      <c r="G32" s="529"/>
      <c r="H32" s="529"/>
    </row>
    <row r="33" spans="1:8" ht="31.8" customHeight="1">
      <c r="A33" s="94"/>
      <c r="B33" s="167" t="s">
        <v>386</v>
      </c>
      <c r="C33" s="167" t="s">
        <v>1165</v>
      </c>
      <c r="D33" s="167" t="s">
        <v>1167</v>
      </c>
      <c r="E33" s="167" t="s">
        <v>1166</v>
      </c>
      <c r="F33" s="166" t="s">
        <v>1168</v>
      </c>
      <c r="G33" s="167" t="s">
        <v>387</v>
      </c>
      <c r="H33" s="202" t="s">
        <v>1115</v>
      </c>
    </row>
    <row r="34" spans="1:8" ht="19.95" customHeight="1">
      <c r="A34" s="94"/>
      <c r="B34" s="147" t="s">
        <v>388</v>
      </c>
      <c r="C34" s="143"/>
      <c r="D34" s="143"/>
      <c r="E34" s="143"/>
      <c r="F34" s="188" t="str">
        <f>IFERROR((0.161*C34)/(D34*E34),"")</f>
        <v/>
      </c>
      <c r="G34" s="143" t="s">
        <v>389</v>
      </c>
      <c r="H34" s="188" t="str">
        <f>IF(F34="","",IF(AND(F34&gt;=0.4,F34&lt;=0.6),"Compliant","Not Compliant"))</f>
        <v/>
      </c>
    </row>
    <row r="35" spans="1:8" ht="19.95" customHeight="1">
      <c r="A35" s="94"/>
      <c r="B35" s="147" t="s">
        <v>390</v>
      </c>
      <c r="C35" s="143"/>
      <c r="D35" s="143"/>
      <c r="E35" s="143"/>
      <c r="F35" s="188" t="str">
        <f t="shared" ref="F35:F41" si="1">IFERROR((0.161*C35)/(D35*E35),"")</f>
        <v/>
      </c>
      <c r="G35" s="143" t="s">
        <v>391</v>
      </c>
      <c r="H35" s="188" t="str">
        <f>IF(F35="","",IF(AND(F35&gt;=0.6,F35&lt;=0.8),"Compliant","Not Compliant"))</f>
        <v/>
      </c>
    </row>
    <row r="36" spans="1:8" ht="19.95" customHeight="1">
      <c r="A36" s="94"/>
      <c r="B36" s="147" t="s">
        <v>392</v>
      </c>
      <c r="C36" s="143"/>
      <c r="D36" s="143"/>
      <c r="E36" s="143"/>
      <c r="F36" s="188" t="str">
        <f t="shared" si="1"/>
        <v/>
      </c>
      <c r="G36" s="143" t="s">
        <v>393</v>
      </c>
      <c r="H36" s="509" t="str">
        <f>IF(F36="","",IF(AND(F36&gt;=0.8,F36&lt;=1.2),"Compliant","Not Compliant"))</f>
        <v/>
      </c>
    </row>
    <row r="37" spans="1:8" ht="19.95" customHeight="1">
      <c r="A37" s="94"/>
      <c r="B37" s="147" t="s">
        <v>394</v>
      </c>
      <c r="C37" s="143"/>
      <c r="D37" s="143"/>
      <c r="E37" s="143"/>
      <c r="F37" s="188" t="str">
        <f t="shared" si="1"/>
        <v/>
      </c>
      <c r="G37" s="143" t="s">
        <v>395</v>
      </c>
      <c r="H37" s="509" t="str">
        <f>IF(F37="","",IF(AND(F37&gt;=0.8,F37&lt;=1),"Compliant","Not Compliant"))</f>
        <v/>
      </c>
    </row>
    <row r="38" spans="1:8" ht="19.95" customHeight="1">
      <c r="A38" s="94"/>
      <c r="B38" s="147" t="s">
        <v>396</v>
      </c>
      <c r="C38" s="143"/>
      <c r="D38" s="143"/>
      <c r="E38" s="143"/>
      <c r="F38" s="188" t="str">
        <f t="shared" si="1"/>
        <v/>
      </c>
      <c r="G38" s="143" t="s">
        <v>391</v>
      </c>
      <c r="H38" s="509" t="str">
        <f>IF(F38="","",IF(AND(F38&gt;=0.6,F38&lt;=0.8),"Compliant","Not Compliant"))</f>
        <v/>
      </c>
    </row>
    <row r="39" spans="1:8" ht="19.95" customHeight="1">
      <c r="A39" s="94"/>
      <c r="B39" s="147" t="s">
        <v>397</v>
      </c>
      <c r="C39" s="143"/>
      <c r="D39" s="143"/>
      <c r="E39" s="143"/>
      <c r="F39" s="188" t="str">
        <f t="shared" si="1"/>
        <v/>
      </c>
      <c r="G39" s="143" t="s">
        <v>398</v>
      </c>
      <c r="H39" s="509" t="str">
        <f>IF(F39="","",IF(AND(F39&gt;=1,F39&lt;=1.5),"Compliant","Not Compliant"))</f>
        <v/>
      </c>
    </row>
    <row r="40" spans="1:8" ht="19.95" customHeight="1">
      <c r="A40" s="94"/>
      <c r="B40" s="147" t="s">
        <v>399</v>
      </c>
      <c r="C40" s="143"/>
      <c r="D40" s="143"/>
      <c r="E40" s="143"/>
      <c r="F40" s="188" t="str">
        <f t="shared" si="1"/>
        <v/>
      </c>
      <c r="G40" s="143" t="s">
        <v>391</v>
      </c>
      <c r="H40" s="510" t="str">
        <f>IF(F40="","",IF(AND(F40&gt;=0.6,F40&lt;=0.8),"Compliant","Not Compliant"))</f>
        <v/>
      </c>
    </row>
    <row r="41" spans="1:8" ht="19.95" customHeight="1">
      <c r="A41" s="94"/>
      <c r="B41" s="147" t="s">
        <v>400</v>
      </c>
      <c r="C41" s="143"/>
      <c r="D41" s="143"/>
      <c r="E41" s="143"/>
      <c r="F41" s="188" t="str">
        <f t="shared" si="1"/>
        <v/>
      </c>
      <c r="G41" s="143" t="s">
        <v>389</v>
      </c>
      <c r="H41" s="509" t="str">
        <f>IF(F41="","",IF(AND(F41&gt;=0.4,F41&lt;=0.6),"Compliant","Not Compliant"))</f>
        <v/>
      </c>
    </row>
    <row r="42" spans="1:8" ht="19.95" customHeight="1">
      <c r="A42" s="94"/>
      <c r="B42" s="151" t="s">
        <v>329</v>
      </c>
      <c r="C42" s="953"/>
      <c r="D42" s="953"/>
      <c r="E42" s="507"/>
      <c r="F42" s="465" t="s">
        <v>6</v>
      </c>
      <c r="G42" s="590">
        <f>IF(COUNTIF(H34:H41,"Compliant")=8,1,0)</f>
        <v>0</v>
      </c>
      <c r="H42" s="590"/>
    </row>
    <row r="43" spans="1:8" ht="19.95" customHeight="1">
      <c r="B43" s="538"/>
      <c r="C43" s="538"/>
      <c r="D43" s="538"/>
      <c r="E43" s="538"/>
      <c r="F43" s="538"/>
      <c r="G43" s="538"/>
      <c r="H43" s="538"/>
    </row>
    <row r="44" spans="1:8" ht="19.95" customHeight="1">
      <c r="B44" s="952" t="s">
        <v>106</v>
      </c>
      <c r="C44" s="952"/>
      <c r="D44" s="952"/>
      <c r="E44" s="275"/>
      <c r="F44" s="275"/>
      <c r="G44" s="275" t="s">
        <v>189</v>
      </c>
      <c r="H44" s="11">
        <f>C1</f>
        <v>0</v>
      </c>
    </row>
    <row r="45" spans="1:8">
      <c r="B45" s="302"/>
      <c r="C45" s="302"/>
      <c r="D45" s="302"/>
      <c r="E45" s="302"/>
      <c r="F45" s="302"/>
      <c r="G45" s="302"/>
      <c r="H45" s="302"/>
    </row>
    <row r="46" spans="1:8" ht="17.399999999999999" customHeight="1">
      <c r="B46" s="537" t="s">
        <v>146</v>
      </c>
      <c r="C46" s="537"/>
      <c r="D46" s="537"/>
      <c r="E46" s="537"/>
      <c r="F46" s="537"/>
      <c r="G46" s="537"/>
      <c r="H46" s="537"/>
    </row>
    <row r="47" spans="1:8" ht="13.8" customHeight="1">
      <c r="B47" s="581" t="s">
        <v>1169</v>
      </c>
      <c r="C47" s="581"/>
      <c r="D47" s="581"/>
      <c r="E47" s="581"/>
      <c r="F47" s="581"/>
      <c r="G47" s="581"/>
      <c r="H47" s="101"/>
    </row>
    <row r="48" spans="1:8" ht="17.399999999999999" customHeight="1">
      <c r="A48" s="103"/>
      <c r="B48" s="560" t="s">
        <v>1170</v>
      </c>
      <c r="C48" s="560"/>
      <c r="D48" s="560"/>
      <c r="E48" s="560"/>
      <c r="F48" s="560"/>
      <c r="G48" s="560"/>
      <c r="H48" s="101" t="s">
        <v>139</v>
      </c>
    </row>
    <row r="49" spans="1:8" ht="17.399999999999999" customHeight="1">
      <c r="A49" s="103"/>
      <c r="B49" s="560" t="s">
        <v>1171</v>
      </c>
      <c r="C49" s="560"/>
      <c r="D49" s="560"/>
      <c r="E49" s="560"/>
      <c r="F49" s="560"/>
      <c r="G49" s="560"/>
      <c r="H49" s="101" t="s">
        <v>139</v>
      </c>
    </row>
    <row r="50" spans="1:8" ht="17.399999999999999" customHeight="1">
      <c r="A50" s="103"/>
      <c r="B50" s="560" t="s">
        <v>1172</v>
      </c>
      <c r="C50" s="560"/>
      <c r="D50" s="560"/>
      <c r="E50" s="560"/>
      <c r="F50" s="560"/>
      <c r="G50" s="560"/>
      <c r="H50" s="101" t="s">
        <v>139</v>
      </c>
    </row>
    <row r="51" spans="1:8" ht="17.399999999999999" customHeight="1">
      <c r="A51" s="103"/>
      <c r="B51" s="560" t="s">
        <v>1173</v>
      </c>
      <c r="C51" s="560"/>
      <c r="D51" s="560"/>
      <c r="E51" s="560"/>
      <c r="F51" s="560"/>
      <c r="G51" s="560"/>
      <c r="H51" s="101" t="s">
        <v>139</v>
      </c>
    </row>
    <row r="52" spans="1:8" ht="17.399999999999999" customHeight="1">
      <c r="A52" s="103"/>
      <c r="B52" s="560" t="s">
        <v>1174</v>
      </c>
      <c r="C52" s="560"/>
      <c r="D52" s="560"/>
      <c r="E52" s="560"/>
      <c r="F52" s="560"/>
      <c r="G52" s="560"/>
      <c r="H52" s="101" t="s">
        <v>139</v>
      </c>
    </row>
    <row r="53" spans="1:8" ht="17.399999999999999" customHeight="1">
      <c r="A53" s="103"/>
      <c r="B53" s="748" t="s">
        <v>1161</v>
      </c>
      <c r="C53" s="748"/>
      <c r="D53" s="748"/>
      <c r="E53" s="92"/>
      <c r="F53" s="97"/>
      <c r="G53" s="97"/>
      <c r="H53" s="101"/>
    </row>
    <row r="54" spans="1:8" ht="17.399999999999999" customHeight="1">
      <c r="A54" s="103"/>
      <c r="B54" s="560" t="s">
        <v>1175</v>
      </c>
      <c r="C54" s="560"/>
      <c r="D54" s="560"/>
      <c r="E54" s="560"/>
      <c r="F54" s="560"/>
      <c r="G54" s="560"/>
      <c r="H54" s="101" t="s">
        <v>139</v>
      </c>
    </row>
    <row r="55" spans="1:8" ht="13.8" customHeight="1">
      <c r="A55" s="103"/>
      <c r="B55" s="560" t="s">
        <v>1176</v>
      </c>
      <c r="C55" s="560"/>
      <c r="D55" s="560"/>
      <c r="E55" s="560"/>
      <c r="F55" s="560"/>
      <c r="G55" s="560"/>
      <c r="H55" s="101" t="s">
        <v>139</v>
      </c>
    </row>
    <row r="56" spans="1:8" ht="17.399999999999999" customHeight="1">
      <c r="A56" s="103"/>
      <c r="B56" s="560" t="s">
        <v>1172</v>
      </c>
      <c r="C56" s="560"/>
      <c r="D56" s="560"/>
      <c r="E56" s="560"/>
      <c r="F56" s="560"/>
      <c r="G56" s="560"/>
      <c r="H56" s="101" t="s">
        <v>139</v>
      </c>
    </row>
    <row r="57" spans="1:8" ht="17.399999999999999" customHeight="1">
      <c r="A57" s="103"/>
      <c r="B57" s="560" t="s">
        <v>1619</v>
      </c>
      <c r="C57" s="560"/>
      <c r="D57" s="560"/>
      <c r="E57" s="560"/>
      <c r="F57" s="560"/>
      <c r="G57" s="560"/>
      <c r="H57" s="101" t="s">
        <v>139</v>
      </c>
    </row>
    <row r="58" spans="1:8" ht="17.399999999999999" customHeight="1">
      <c r="A58" s="103"/>
      <c r="B58" s="560" t="s">
        <v>1177</v>
      </c>
      <c r="C58" s="560"/>
      <c r="D58" s="560"/>
      <c r="E58" s="560"/>
      <c r="F58" s="560"/>
      <c r="G58" s="560"/>
      <c r="H58" s="101" t="s">
        <v>139</v>
      </c>
    </row>
    <row r="59" spans="1:8" ht="17.399999999999999" customHeight="1">
      <c r="A59" s="103"/>
      <c r="B59" s="560" t="s">
        <v>1178</v>
      </c>
      <c r="C59" s="560"/>
      <c r="D59" s="560"/>
      <c r="E59" s="560"/>
      <c r="F59" s="560"/>
      <c r="G59" s="560"/>
      <c r="H59" s="101" t="s">
        <v>139</v>
      </c>
    </row>
    <row r="60" spans="1:8" ht="17.399999999999999" customHeight="1">
      <c r="A60" s="103"/>
      <c r="B60" s="748" t="s">
        <v>1163</v>
      </c>
      <c r="C60" s="748"/>
      <c r="D60" s="748"/>
      <c r="E60" s="92"/>
      <c r="F60" s="97"/>
      <c r="G60" s="97"/>
      <c r="H60" s="101"/>
    </row>
    <row r="61" spans="1:8" ht="17.399999999999999" customHeight="1">
      <c r="A61" s="103"/>
      <c r="B61" s="560" t="s">
        <v>1179</v>
      </c>
      <c r="C61" s="560"/>
      <c r="D61" s="560"/>
      <c r="E61" s="560"/>
      <c r="F61" s="560"/>
      <c r="G61" s="560"/>
      <c r="H61" s="101" t="s">
        <v>139</v>
      </c>
    </row>
    <row r="62" spans="1:8" ht="17.399999999999999" customHeight="1">
      <c r="A62" s="103"/>
      <c r="B62" s="560" t="s">
        <v>1180</v>
      </c>
      <c r="C62" s="560"/>
      <c r="D62" s="560"/>
      <c r="E62" s="560"/>
      <c r="F62" s="560"/>
      <c r="G62" s="560"/>
      <c r="H62" s="101" t="s">
        <v>139</v>
      </c>
    </row>
    <row r="63" spans="1:8" ht="18.600000000000001" customHeight="1">
      <c r="A63" s="103"/>
      <c r="B63" s="560" t="s">
        <v>1181</v>
      </c>
      <c r="C63" s="560"/>
      <c r="D63" s="560"/>
      <c r="E63" s="560"/>
      <c r="F63" s="560"/>
      <c r="G63" s="560"/>
      <c r="H63" s="101" t="s">
        <v>139</v>
      </c>
    </row>
    <row r="64" spans="1:8" ht="14.4">
      <c r="A64" s="103"/>
      <c r="B64" s="531" t="s">
        <v>147</v>
      </c>
      <c r="C64" s="531"/>
      <c r="D64" s="531"/>
      <c r="E64" s="531"/>
      <c r="F64" s="531"/>
      <c r="G64" s="531"/>
      <c r="H64" s="531"/>
    </row>
    <row r="65" spans="1:8" ht="14.4">
      <c r="A65" s="103"/>
      <c r="B65" s="97"/>
      <c r="C65" s="97"/>
      <c r="D65" s="97"/>
      <c r="E65" s="97"/>
      <c r="F65" s="97"/>
      <c r="G65" s="97"/>
      <c r="H65" s="97"/>
    </row>
    <row r="66" spans="1:8" ht="14.4">
      <c r="A66" s="103"/>
      <c r="B66" s="97"/>
      <c r="C66" s="97"/>
      <c r="D66" s="97"/>
      <c r="E66" s="97"/>
      <c r="F66" s="97"/>
      <c r="G66" s="97"/>
      <c r="H66" s="97"/>
    </row>
    <row r="67" spans="1:8" ht="14.4">
      <c r="A67" s="103"/>
      <c r="B67" s="97"/>
      <c r="C67" s="97"/>
      <c r="D67" s="97"/>
      <c r="E67" s="97"/>
      <c r="F67" s="97"/>
      <c r="G67" s="97"/>
      <c r="H67" s="97"/>
    </row>
    <row r="68" spans="1:8">
      <c r="B68" s="97"/>
      <c r="C68" s="97"/>
      <c r="D68" s="97"/>
      <c r="E68" s="97"/>
      <c r="F68" s="97"/>
      <c r="G68" s="97"/>
      <c r="H68" s="97"/>
    </row>
  </sheetData>
  <sheetProtection sheet="1" objects="1" scenarios="1"/>
  <mergeCells count="64">
    <mergeCell ref="B6:G6"/>
    <mergeCell ref="B31:H31"/>
    <mergeCell ref="B5:D5"/>
    <mergeCell ref="B61:G61"/>
    <mergeCell ref="B62:G62"/>
    <mergeCell ref="B19:G19"/>
    <mergeCell ref="G17:H17"/>
    <mergeCell ref="D21:F21"/>
    <mergeCell ref="D22:F22"/>
    <mergeCell ref="D23:F23"/>
    <mergeCell ref="B32:H32"/>
    <mergeCell ref="B59:G59"/>
    <mergeCell ref="G21:H21"/>
    <mergeCell ref="G22:H22"/>
    <mergeCell ref="G23:H23"/>
    <mergeCell ref="G24:H24"/>
    <mergeCell ref="B7:H7"/>
    <mergeCell ref="B20:H20"/>
    <mergeCell ref="B64:H64"/>
    <mergeCell ref="B60:D60"/>
    <mergeCell ref="B53:D53"/>
    <mergeCell ref="B47:G47"/>
    <mergeCell ref="B48:G48"/>
    <mergeCell ref="B49:G49"/>
    <mergeCell ref="B50:G50"/>
    <mergeCell ref="B51:G51"/>
    <mergeCell ref="G29:H29"/>
    <mergeCell ref="C42:D42"/>
    <mergeCell ref="G42:H42"/>
    <mergeCell ref="B46:H46"/>
    <mergeCell ref="B43:H43"/>
    <mergeCell ref="B63:G63"/>
    <mergeCell ref="B1:C1"/>
    <mergeCell ref="B2:C2"/>
    <mergeCell ref="B4:H4"/>
    <mergeCell ref="D1:F1"/>
    <mergeCell ref="D28:F28"/>
    <mergeCell ref="B21:C21"/>
    <mergeCell ref="B22:C22"/>
    <mergeCell ref="B23:C23"/>
    <mergeCell ref="B24:C24"/>
    <mergeCell ref="B25:C25"/>
    <mergeCell ref="B26:C26"/>
    <mergeCell ref="B27:C27"/>
    <mergeCell ref="B28:C28"/>
    <mergeCell ref="D25:F25"/>
    <mergeCell ref="D26:F26"/>
    <mergeCell ref="D27:F27"/>
    <mergeCell ref="B57:G57"/>
    <mergeCell ref="B56:G56"/>
    <mergeCell ref="B58:G58"/>
    <mergeCell ref="C17:E17"/>
    <mergeCell ref="B18:H18"/>
    <mergeCell ref="B55:G55"/>
    <mergeCell ref="D24:F24"/>
    <mergeCell ref="B52:G52"/>
    <mergeCell ref="B54:G54"/>
    <mergeCell ref="B44:D44"/>
    <mergeCell ref="B30:H30"/>
    <mergeCell ref="G25:H25"/>
    <mergeCell ref="G26:H26"/>
    <mergeCell ref="G27:H27"/>
    <mergeCell ref="G28:H28"/>
    <mergeCell ref="C29:E29"/>
  </mergeCells>
  <dataValidations count="4">
    <dataValidation type="list" sqref="A1 G22:G28 H47:H63" xr:uid="{00000000-0002-0000-3200-000001000000}">
      <formula1>"☐,☑"</formula1>
    </dataValidation>
    <dataValidation type="list" allowBlank="1" showInputMessage="1" showErrorMessage="1" sqref="C9:C16" xr:uid="{BE46E20F-BE9F-47E0-801A-A4234CC825A6}">
      <formula1>"Yes, No"</formula1>
    </dataValidation>
    <dataValidation sqref="H9:H16" xr:uid="{0BF623B5-B975-4191-A31D-DD103514E1A9}"/>
    <dataValidation type="list" allowBlank="1" showInputMessage="1" showErrorMessage="1" sqref="D9:D16" xr:uid="{8FD6A30E-BEA3-4AEC-9CBD-C33EBA88B1A5}">
      <formula1>"CO2, PM2.5, PM10, TVOC, CO, NO2, SO2, "</formula1>
    </dataValidation>
  </dataValidations>
  <pageMargins left="0.7" right="0.7" top="0.75" bottom="0.75" header="0.3" footer="0.3"/>
  <pageSetup orientation="portrait" r:id="rId1"/>
  <ignoredErrors>
    <ignoredError sqref="H44" unlockedFormula="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A1:E23"/>
  <sheetViews>
    <sheetView workbookViewId="0">
      <selection activeCell="H11" sqref="H11"/>
    </sheetView>
  </sheetViews>
  <sheetFormatPr defaultRowHeight="13.8"/>
  <cols>
    <col min="1" max="1" width="6" style="93" customWidth="1"/>
    <col min="2" max="2" width="39" style="93" customWidth="1"/>
    <col min="3" max="4" width="26" style="93" customWidth="1"/>
    <col min="5" max="5" width="18" style="93" customWidth="1"/>
    <col min="6" max="16384" width="8.796875" style="93"/>
  </cols>
  <sheetData>
    <row r="1" spans="1:5" ht="17.399999999999999">
      <c r="A1" s="91" t="s">
        <v>134</v>
      </c>
      <c r="B1" s="92" t="s">
        <v>163</v>
      </c>
      <c r="C1" s="9">
        <f>E11</f>
        <v>0</v>
      </c>
      <c r="D1" s="92" t="s">
        <v>317</v>
      </c>
      <c r="E1" s="92">
        <f>IF('Project Info'!$C$8="New Hotel",1,1)</f>
        <v>1</v>
      </c>
    </row>
    <row r="2" spans="1:5" ht="42">
      <c r="A2" s="94"/>
      <c r="B2" s="95" t="s">
        <v>108</v>
      </c>
      <c r="C2" s="95"/>
      <c r="D2" s="95"/>
      <c r="E2" s="95" t="s">
        <v>107</v>
      </c>
    </row>
    <row r="3" spans="1:5" ht="15.6">
      <c r="A3" s="94"/>
      <c r="B3" s="96" t="s">
        <v>5</v>
      </c>
      <c r="C3" s="97"/>
      <c r="D3" s="97"/>
      <c r="E3" s="97" t="str">
        <f>HYPERLINK("#'Checklist'!A1","Go To Checklist")</f>
        <v>Go To Checklist</v>
      </c>
    </row>
    <row r="4" spans="1:5" ht="51.6" customHeight="1">
      <c r="A4" s="94"/>
      <c r="B4" s="533" t="s">
        <v>710</v>
      </c>
      <c r="C4" s="534"/>
      <c r="D4" s="534"/>
      <c r="E4" s="535"/>
    </row>
    <row r="5" spans="1:5" ht="15.6">
      <c r="A5" s="94"/>
      <c r="B5" s="562" t="s">
        <v>918</v>
      </c>
      <c r="C5" s="562"/>
      <c r="D5" s="562"/>
      <c r="E5" s="98" t="s">
        <v>137</v>
      </c>
    </row>
    <row r="6" spans="1:5" ht="31.2" customHeight="1">
      <c r="A6" s="94"/>
      <c r="B6" s="529" t="s">
        <v>1182</v>
      </c>
      <c r="C6" s="529"/>
      <c r="D6" s="529"/>
      <c r="E6" s="529"/>
    </row>
    <row r="7" spans="1:5" ht="15.6" customHeight="1">
      <c r="A7" s="94"/>
      <c r="B7" s="109" t="s">
        <v>940</v>
      </c>
      <c r="C7" s="741" t="s">
        <v>622</v>
      </c>
      <c r="D7" s="741"/>
      <c r="E7" s="110" t="s">
        <v>829</v>
      </c>
    </row>
    <row r="8" spans="1:5" ht="15.6">
      <c r="A8" s="94"/>
      <c r="B8" s="158" t="s">
        <v>1379</v>
      </c>
      <c r="C8" s="948" t="s">
        <v>1064</v>
      </c>
      <c r="D8" s="948"/>
      <c r="E8" s="502">
        <v>0</v>
      </c>
    </row>
    <row r="9" spans="1:5" ht="15.6">
      <c r="A9" s="94"/>
      <c r="B9" s="158" t="s">
        <v>1380</v>
      </c>
      <c r="C9" s="948" t="s">
        <v>1064</v>
      </c>
      <c r="D9" s="948"/>
      <c r="E9" s="502">
        <v>0</v>
      </c>
    </row>
    <row r="10" spans="1:5" ht="13.8" customHeight="1">
      <c r="A10" s="94"/>
      <c r="B10" s="503" t="s">
        <v>169</v>
      </c>
      <c r="C10" s="949" t="s">
        <v>170</v>
      </c>
      <c r="D10" s="949"/>
      <c r="E10" s="504">
        <f>IFERROR(E9/E8,0)</f>
        <v>0</v>
      </c>
    </row>
    <row r="11" spans="1:5" ht="30" customHeight="1">
      <c r="A11" s="94"/>
      <c r="B11" s="145" t="s">
        <v>329</v>
      </c>
      <c r="C11" s="124" t="s">
        <v>1378</v>
      </c>
      <c r="D11" s="419" t="s">
        <v>6</v>
      </c>
      <c r="E11" s="14">
        <f>IF(E10&gt;=80%,1,0)</f>
        <v>0</v>
      </c>
    </row>
    <row r="12" spans="1:5" ht="17.399999999999999" customHeight="1">
      <c r="A12" s="94"/>
      <c r="B12" s="104"/>
      <c r="C12" s="104"/>
      <c r="D12" s="104"/>
      <c r="E12" s="101"/>
    </row>
    <row r="13" spans="1:5" ht="17.399999999999999" customHeight="1">
      <c r="A13" s="94"/>
      <c r="B13" s="539" t="s">
        <v>108</v>
      </c>
      <c r="C13" s="539"/>
      <c r="D13" s="275" t="s">
        <v>189</v>
      </c>
      <c r="E13" s="8">
        <f>C1</f>
        <v>0</v>
      </c>
    </row>
    <row r="14" spans="1:5" ht="13.8" customHeight="1">
      <c r="A14" s="94"/>
      <c r="B14" s="97"/>
      <c r="C14" s="97"/>
      <c r="D14" s="97"/>
      <c r="E14" s="97"/>
    </row>
    <row r="15" spans="1:5">
      <c r="A15" s="94"/>
      <c r="B15" s="537" t="s">
        <v>146</v>
      </c>
      <c r="C15" s="537"/>
      <c r="D15" s="537"/>
      <c r="E15" s="537"/>
    </row>
    <row r="16" spans="1:5" ht="17.399999999999999">
      <c r="A16" s="103"/>
      <c r="B16" s="538" t="s">
        <v>1183</v>
      </c>
      <c r="C16" s="538"/>
      <c r="D16" s="538"/>
      <c r="E16" s="101" t="s">
        <v>139</v>
      </c>
    </row>
    <row r="17" spans="1:5" ht="17.399999999999999">
      <c r="A17" s="103"/>
      <c r="B17" s="538" t="s">
        <v>1184</v>
      </c>
      <c r="C17" s="538"/>
      <c r="D17" s="538"/>
      <c r="E17" s="101" t="s">
        <v>139</v>
      </c>
    </row>
    <row r="18" spans="1:5" ht="14.4">
      <c r="A18" s="103"/>
      <c r="B18" s="531" t="s">
        <v>147</v>
      </c>
      <c r="C18" s="531"/>
      <c r="D18" s="531"/>
      <c r="E18" s="531"/>
    </row>
    <row r="19" spans="1:5" ht="14.4">
      <c r="A19" s="114"/>
      <c r="B19" s="97"/>
      <c r="C19" s="97"/>
      <c r="D19" s="97"/>
      <c r="E19" s="97"/>
    </row>
    <row r="20" spans="1:5" ht="14.4">
      <c r="A20" s="103"/>
      <c r="B20" s="97"/>
      <c r="C20" s="97"/>
      <c r="D20" s="97"/>
      <c r="E20" s="97"/>
    </row>
    <row r="21" spans="1:5" ht="14.4">
      <c r="A21" s="103"/>
      <c r="B21" s="97"/>
      <c r="C21" s="97"/>
      <c r="D21" s="97"/>
      <c r="E21" s="97"/>
    </row>
    <row r="22" spans="1:5">
      <c r="B22" s="97"/>
      <c r="C22" s="97"/>
      <c r="D22" s="97"/>
      <c r="E22" s="97"/>
    </row>
    <row r="23" spans="1:5">
      <c r="B23" s="97"/>
      <c r="C23" s="97"/>
      <c r="D23" s="97"/>
      <c r="E23" s="97"/>
    </row>
  </sheetData>
  <sheetProtection sheet="1" objects="1" scenarios="1"/>
  <mergeCells count="12">
    <mergeCell ref="C9:D9"/>
    <mergeCell ref="B6:E6"/>
    <mergeCell ref="B4:E4"/>
    <mergeCell ref="B5:D5"/>
    <mergeCell ref="C7:D7"/>
    <mergeCell ref="C8:D8"/>
    <mergeCell ref="B18:E18"/>
    <mergeCell ref="B17:D17"/>
    <mergeCell ref="B15:E15"/>
    <mergeCell ref="B16:D16"/>
    <mergeCell ref="C10:D10"/>
    <mergeCell ref="B13:C13"/>
  </mergeCells>
  <conditionalFormatting sqref="E11">
    <cfRule type="containsText" dxfId="38" priority="1" operator="containsText" text="Not Compliant">
      <formula>NOT(ISERROR(SEARCH("Not Compliant",E11)))</formula>
    </cfRule>
    <cfRule type="containsText" dxfId="37" priority="2" operator="containsText" text="Compliant">
      <formula>NOT(ISERROR(SEARCH("Compliant",E11)))</formula>
    </cfRule>
  </conditionalFormatting>
  <dataValidations count="3">
    <dataValidation type="decimal" sqref="C1" xr:uid="{00000000-0002-0000-3300-000000000000}">
      <formula1>0</formula1>
      <formula2>1</formula2>
    </dataValidation>
    <dataValidation type="list" sqref="A1 E16:E17 E12" xr:uid="{00000000-0002-0000-3300-000001000000}">
      <formula1>"☐,☑"</formula1>
    </dataValidation>
    <dataValidation sqref="E8:E10" xr:uid="{BD0F0300-C231-4374-9DEC-22257D0EC2D5}"/>
  </dataValidation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A1:E36"/>
  <sheetViews>
    <sheetView topLeftCell="A7" workbookViewId="0">
      <selection activeCell="D11" sqref="D11"/>
    </sheetView>
  </sheetViews>
  <sheetFormatPr defaultRowHeight="13.8"/>
  <cols>
    <col min="1" max="1" width="6" style="93" customWidth="1"/>
    <col min="2" max="2" width="39" style="93" customWidth="1"/>
    <col min="3" max="4" width="26" style="93" customWidth="1"/>
    <col min="5" max="5" width="18" style="93" customWidth="1"/>
    <col min="6" max="16384" width="8.796875" style="93"/>
  </cols>
  <sheetData>
    <row r="1" spans="1:5" ht="17.399999999999999">
      <c r="A1" s="91" t="s">
        <v>134</v>
      </c>
      <c r="B1" s="92" t="s">
        <v>163</v>
      </c>
      <c r="C1" s="9">
        <f>IF(E12,1,0)+IF(OR(E15="☑",E17="☑"),1,0)</f>
        <v>1</v>
      </c>
      <c r="D1" s="92" t="s">
        <v>317</v>
      </c>
      <c r="E1" s="92">
        <f>IF('Project Info'!$C$8="New Hotel",2,2)</f>
        <v>2</v>
      </c>
    </row>
    <row r="2" spans="1:5" ht="42">
      <c r="A2" s="94"/>
      <c r="B2" s="95" t="s">
        <v>110</v>
      </c>
      <c r="C2" s="95"/>
      <c r="D2" s="95"/>
      <c r="E2" s="95" t="s">
        <v>109</v>
      </c>
    </row>
    <row r="3" spans="1:5" ht="15.6">
      <c r="A3" s="94"/>
      <c r="B3" s="96" t="s">
        <v>5</v>
      </c>
      <c r="C3" s="97"/>
      <c r="D3" s="97"/>
      <c r="E3" s="97" t="str">
        <f>HYPERLINK("#'Checklist'!A1","Go To Checklist")</f>
        <v>Go To Checklist</v>
      </c>
    </row>
    <row r="4" spans="1:5" ht="48" customHeight="1">
      <c r="A4" s="94"/>
      <c r="B4" s="533" t="s">
        <v>710</v>
      </c>
      <c r="C4" s="534"/>
      <c r="D4" s="534"/>
      <c r="E4" s="535"/>
    </row>
    <row r="5" spans="1:5" ht="15.6">
      <c r="A5" s="94"/>
      <c r="B5" s="562" t="s">
        <v>918</v>
      </c>
      <c r="C5" s="562"/>
      <c r="D5" s="562"/>
      <c r="E5" s="98"/>
    </row>
    <row r="6" spans="1:5" ht="17.399999999999999" customHeight="1">
      <c r="A6" s="94"/>
      <c r="B6" s="955" t="s">
        <v>1185</v>
      </c>
      <c r="C6" s="955"/>
      <c r="D6" s="955"/>
      <c r="E6" s="231"/>
    </row>
    <row r="7" spans="1:5" ht="28.8" customHeight="1">
      <c r="A7" s="94"/>
      <c r="B7" s="529" t="s">
        <v>1186</v>
      </c>
      <c r="C7" s="529"/>
      <c r="D7" s="529"/>
      <c r="E7" s="529"/>
    </row>
    <row r="8" spans="1:5" ht="16.2" customHeight="1">
      <c r="A8" s="94"/>
      <c r="B8" s="740" t="s">
        <v>940</v>
      </c>
      <c r="C8" s="740"/>
      <c r="D8" s="109" t="s">
        <v>622</v>
      </c>
      <c r="E8" s="110" t="s">
        <v>829</v>
      </c>
    </row>
    <row r="9" spans="1:5" ht="17.399999999999999" customHeight="1">
      <c r="A9" s="94"/>
      <c r="B9" s="623" t="s">
        <v>1620</v>
      </c>
      <c r="C9" s="623"/>
      <c r="D9" s="147" t="s">
        <v>1064</v>
      </c>
      <c r="E9" s="499"/>
    </row>
    <row r="10" spans="1:5" ht="18.600000000000001" customHeight="1">
      <c r="A10" s="94"/>
      <c r="B10" s="623" t="s">
        <v>1621</v>
      </c>
      <c r="C10" s="623"/>
      <c r="D10" s="147" t="s">
        <v>1064</v>
      </c>
      <c r="E10" s="243"/>
    </row>
    <row r="11" spans="1:5" ht="15" customHeight="1">
      <c r="A11" s="94"/>
      <c r="B11" s="956" t="s">
        <v>169</v>
      </c>
      <c r="C11" s="956"/>
      <c r="D11" s="500" t="s">
        <v>170</v>
      </c>
      <c r="E11" s="501">
        <f>IFERROR(E10/E9,0)</f>
        <v>0</v>
      </c>
    </row>
    <row r="12" spans="1:5" ht="17.399999999999999" customHeight="1">
      <c r="A12" s="94"/>
      <c r="B12" s="145" t="s">
        <v>329</v>
      </c>
      <c r="C12" s="124" t="s">
        <v>1622</v>
      </c>
      <c r="D12" s="419" t="s">
        <v>6</v>
      </c>
      <c r="E12" s="14">
        <f>IF(E11&gt;=1%,1,0)</f>
        <v>0</v>
      </c>
    </row>
    <row r="13" spans="1:5">
      <c r="A13" s="94"/>
      <c r="B13" s="616" t="s">
        <v>917</v>
      </c>
      <c r="C13" s="616"/>
      <c r="D13" s="616"/>
      <c r="E13" s="616"/>
    </row>
    <row r="14" spans="1:5" ht="17.399999999999999">
      <c r="A14" s="94"/>
      <c r="B14" s="827" t="s">
        <v>1187</v>
      </c>
      <c r="C14" s="827"/>
      <c r="D14" s="827"/>
      <c r="E14" s="231"/>
    </row>
    <row r="15" spans="1:5" ht="17.399999999999999" customHeight="1">
      <c r="A15" s="94"/>
      <c r="B15" s="538" t="s">
        <v>1188</v>
      </c>
      <c r="C15" s="561"/>
      <c r="D15" s="561"/>
      <c r="E15" s="101" t="s">
        <v>134</v>
      </c>
    </row>
    <row r="16" spans="1:5" ht="17.399999999999999" customHeight="1">
      <c r="A16" s="94"/>
      <c r="B16" s="581" t="s">
        <v>816</v>
      </c>
      <c r="C16" s="581"/>
      <c r="D16" s="581"/>
      <c r="E16" s="101"/>
    </row>
    <row r="17" spans="1:5" ht="17.399999999999999" customHeight="1">
      <c r="A17" s="94"/>
      <c r="B17" s="538" t="s">
        <v>1189</v>
      </c>
      <c r="C17" s="561"/>
      <c r="D17" s="561"/>
      <c r="E17" s="101" t="s">
        <v>134</v>
      </c>
    </row>
    <row r="18" spans="1:5" ht="28.8" customHeight="1">
      <c r="A18" s="94"/>
      <c r="B18" s="632"/>
      <c r="C18" s="632"/>
      <c r="D18" s="632"/>
      <c r="E18" s="632"/>
    </row>
    <row r="19" spans="1:5" ht="17.399999999999999" customHeight="1">
      <c r="A19" s="94"/>
      <c r="B19" s="539" t="s">
        <v>110</v>
      </c>
      <c r="C19" s="539"/>
      <c r="D19" s="275" t="s">
        <v>189</v>
      </c>
      <c r="E19" s="8">
        <f>C1</f>
        <v>1</v>
      </c>
    </row>
    <row r="20" spans="1:5" ht="17.399999999999999" customHeight="1">
      <c r="A20" s="94"/>
      <c r="B20" s="97"/>
      <c r="C20" s="97"/>
      <c r="D20" s="97"/>
      <c r="E20" s="97"/>
    </row>
    <row r="21" spans="1:5" ht="17.399999999999999" customHeight="1">
      <c r="A21" s="94"/>
      <c r="B21" s="537" t="s">
        <v>146</v>
      </c>
      <c r="C21" s="537"/>
      <c r="D21" s="537"/>
      <c r="E21" s="537"/>
    </row>
    <row r="22" spans="1:5" ht="17.399999999999999" customHeight="1">
      <c r="A22" s="94"/>
      <c r="B22" s="748" t="s">
        <v>1190</v>
      </c>
      <c r="C22" s="748"/>
      <c r="D22" s="748"/>
      <c r="E22" s="101"/>
    </row>
    <row r="23" spans="1:5" ht="17.399999999999999" customHeight="1">
      <c r="A23" s="103"/>
      <c r="B23" s="538" t="s">
        <v>1191</v>
      </c>
      <c r="C23" s="538"/>
      <c r="D23" s="538"/>
      <c r="E23" s="101" t="s">
        <v>139</v>
      </c>
    </row>
    <row r="24" spans="1:5" ht="18" customHeight="1">
      <c r="A24" s="103"/>
      <c r="B24" s="538" t="s">
        <v>1192</v>
      </c>
      <c r="C24" s="538"/>
      <c r="D24" s="538"/>
      <c r="E24" s="101" t="s">
        <v>139</v>
      </c>
    </row>
    <row r="25" spans="1:5" ht="16.8" customHeight="1">
      <c r="A25" s="103"/>
      <c r="B25" s="538" t="s">
        <v>1193</v>
      </c>
      <c r="C25" s="538"/>
      <c r="D25" s="538"/>
      <c r="E25" s="101" t="s">
        <v>139</v>
      </c>
    </row>
    <row r="26" spans="1:5" ht="13.8" customHeight="1">
      <c r="A26" s="103"/>
      <c r="B26" s="538" t="s">
        <v>1194</v>
      </c>
      <c r="C26" s="538"/>
      <c r="D26" s="538"/>
      <c r="E26" s="101" t="s">
        <v>139</v>
      </c>
    </row>
    <row r="27" spans="1:5" ht="17.399999999999999">
      <c r="A27" s="103"/>
      <c r="B27" s="748" t="s">
        <v>1195</v>
      </c>
      <c r="C27" s="748"/>
      <c r="D27" s="748"/>
      <c r="E27" s="101"/>
    </row>
    <row r="28" spans="1:5" ht="17.399999999999999">
      <c r="A28" s="103"/>
      <c r="B28" s="538" t="s">
        <v>1196</v>
      </c>
      <c r="C28" s="538"/>
      <c r="D28" s="538"/>
      <c r="E28" s="101" t="s">
        <v>139</v>
      </c>
    </row>
    <row r="29" spans="1:5" ht="17.399999999999999">
      <c r="A29" s="103"/>
      <c r="B29" s="560" t="s">
        <v>1197</v>
      </c>
      <c r="C29" s="560"/>
      <c r="D29" s="560"/>
      <c r="E29" s="101" t="s">
        <v>139</v>
      </c>
    </row>
    <row r="30" spans="1:5" ht="17.399999999999999">
      <c r="A30" s="103"/>
      <c r="B30" s="560" t="s">
        <v>1198</v>
      </c>
      <c r="C30" s="560"/>
      <c r="D30" s="560"/>
      <c r="E30" s="101" t="s">
        <v>139</v>
      </c>
    </row>
    <row r="31" spans="1:5" ht="14.4">
      <c r="A31" s="103"/>
      <c r="B31" s="531" t="s">
        <v>147</v>
      </c>
      <c r="C31" s="531"/>
      <c r="D31" s="531"/>
      <c r="E31" s="531"/>
    </row>
    <row r="32" spans="1:5" ht="14.4">
      <c r="A32" s="103"/>
      <c r="B32" s="97"/>
      <c r="C32" s="97"/>
      <c r="D32" s="97"/>
      <c r="E32" s="97"/>
    </row>
    <row r="33" spans="1:5" ht="14.4">
      <c r="A33" s="103"/>
      <c r="B33" s="97"/>
      <c r="C33" s="97"/>
      <c r="D33" s="97"/>
      <c r="E33" s="97"/>
    </row>
    <row r="34" spans="1:5" ht="14.4">
      <c r="A34" s="103"/>
      <c r="B34" s="97"/>
      <c r="C34" s="97"/>
      <c r="D34" s="97"/>
      <c r="E34" s="97"/>
    </row>
    <row r="35" spans="1:5">
      <c r="B35" s="97"/>
      <c r="C35" s="97"/>
      <c r="D35" s="97"/>
      <c r="E35" s="97"/>
    </row>
    <row r="36" spans="1:5">
      <c r="B36" s="97"/>
      <c r="C36" s="97"/>
      <c r="D36" s="97"/>
      <c r="E36" s="97"/>
    </row>
  </sheetData>
  <sheetProtection sheet="1" objects="1" scenarios="1"/>
  <mergeCells count="26">
    <mergeCell ref="B11:C11"/>
    <mergeCell ref="B31:E31"/>
    <mergeCell ref="B28:D28"/>
    <mergeCell ref="B23:D23"/>
    <mergeCell ref="B24:D24"/>
    <mergeCell ref="B25:D25"/>
    <mergeCell ref="B26:D26"/>
    <mergeCell ref="B27:D27"/>
    <mergeCell ref="B29:D29"/>
    <mergeCell ref="B30:D30"/>
    <mergeCell ref="B4:E4"/>
    <mergeCell ref="B21:E21"/>
    <mergeCell ref="B22:D22"/>
    <mergeCell ref="B5:D5"/>
    <mergeCell ref="B6:D6"/>
    <mergeCell ref="B15:D15"/>
    <mergeCell ref="B17:D17"/>
    <mergeCell ref="B19:C19"/>
    <mergeCell ref="B14:D14"/>
    <mergeCell ref="B16:D16"/>
    <mergeCell ref="B13:E13"/>
    <mergeCell ref="B18:E18"/>
    <mergeCell ref="B7:E7"/>
    <mergeCell ref="B8:C8"/>
    <mergeCell ref="B9:C9"/>
    <mergeCell ref="B10:C10"/>
  </mergeCells>
  <conditionalFormatting sqref="E13">
    <cfRule type="containsText" dxfId="36" priority="13" operator="containsText" text="Not Compliant">
      <formula>NOT(ISERROR(SEARCH("Not Compliant",E13)))</formula>
    </cfRule>
    <cfRule type="containsText" dxfId="35" priority="14" operator="containsText" text="Compliant">
      <formula>NOT(ISERROR(SEARCH("Compliant",E13)))</formula>
    </cfRule>
  </conditionalFormatting>
  <conditionalFormatting sqref="E12">
    <cfRule type="containsText" dxfId="34" priority="9" operator="containsText" text="Not Compliant">
      <formula>NOT(ISERROR(SEARCH("Not Compliant",E12)))</formula>
    </cfRule>
    <cfRule type="containsText" dxfId="33" priority="10" operator="containsText" text="Compliant">
      <formula>NOT(ISERROR(SEARCH("Compliant",E12)))</formula>
    </cfRule>
  </conditionalFormatting>
  <dataValidations count="3">
    <dataValidation type="decimal" sqref="C1" xr:uid="{00000000-0002-0000-3400-000000000000}">
      <formula1>0</formula1>
      <formula2>2</formula2>
    </dataValidation>
    <dataValidation type="list" sqref="A1 E6 E14:E17 E22:E30" xr:uid="{00000000-0002-0000-3400-000001000000}">
      <formula1>"☐,☑"</formula1>
    </dataValidation>
    <dataValidation sqref="E9:E11" xr:uid="{539253C8-2D05-49B1-AE20-148BB3CE40A8}"/>
  </dataValidation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A1:G33"/>
  <sheetViews>
    <sheetView topLeftCell="A7" workbookViewId="0"/>
  </sheetViews>
  <sheetFormatPr defaultRowHeight="13.8"/>
  <cols>
    <col min="1" max="1" width="6" style="93" customWidth="1"/>
    <col min="2" max="2" width="39" style="93" customWidth="1"/>
    <col min="3" max="3" width="30.3984375" style="93" customWidth="1"/>
    <col min="4" max="4" width="26" style="93" customWidth="1"/>
    <col min="5" max="5" width="18" style="93" customWidth="1"/>
    <col min="6" max="16384" width="8.796875" style="93"/>
  </cols>
  <sheetData>
    <row r="1" spans="1:5" ht="17.399999999999999">
      <c r="A1" s="91" t="s">
        <v>134</v>
      </c>
      <c r="B1" s="92" t="s">
        <v>163</v>
      </c>
      <c r="C1" s="9">
        <f>E20</f>
        <v>0</v>
      </c>
      <c r="D1" s="92" t="s">
        <v>317</v>
      </c>
      <c r="E1" s="92">
        <f>IF('Project Info'!$C$8="New Hotel",1,1)</f>
        <v>1</v>
      </c>
    </row>
    <row r="2" spans="1:5" ht="42">
      <c r="A2" s="94"/>
      <c r="B2" s="95" t="s">
        <v>113</v>
      </c>
      <c r="C2" s="95"/>
      <c r="D2" s="95"/>
      <c r="E2" s="95" t="s">
        <v>112</v>
      </c>
    </row>
    <row r="3" spans="1:5" ht="15.6">
      <c r="A3" s="94"/>
      <c r="B3" s="96" t="s">
        <v>5</v>
      </c>
      <c r="C3" s="97"/>
      <c r="D3" s="97"/>
      <c r="E3" s="97" t="str">
        <f>HYPERLINK("#'Checklist'!A1","Go To Checklist")</f>
        <v>Go To Checklist</v>
      </c>
    </row>
    <row r="4" spans="1:5" ht="47.4" customHeight="1">
      <c r="A4" s="94"/>
      <c r="B4" s="533" t="s">
        <v>710</v>
      </c>
      <c r="C4" s="534"/>
      <c r="D4" s="534"/>
      <c r="E4" s="535"/>
    </row>
    <row r="5" spans="1:5" ht="15.6" customHeight="1">
      <c r="A5" s="94"/>
      <c r="B5" s="562" t="s">
        <v>918</v>
      </c>
      <c r="C5" s="562"/>
      <c r="D5" s="562"/>
      <c r="E5" s="98"/>
    </row>
    <row r="6" spans="1:5" ht="28.8" customHeight="1">
      <c r="A6" s="94"/>
      <c r="B6" s="529" t="s">
        <v>1199</v>
      </c>
      <c r="C6" s="529"/>
      <c r="D6" s="529"/>
      <c r="E6" s="529"/>
    </row>
    <row r="7" spans="1:5" ht="15.6">
      <c r="A7" s="94"/>
      <c r="B7" s="318" t="s">
        <v>401</v>
      </c>
      <c r="C7" s="110" t="s">
        <v>402</v>
      </c>
      <c r="D7" s="110" t="s">
        <v>1114</v>
      </c>
      <c r="E7" s="201" t="s">
        <v>137</v>
      </c>
    </row>
    <row r="8" spans="1:5" ht="17.399999999999999">
      <c r="A8" s="94"/>
      <c r="B8" s="147" t="s">
        <v>403</v>
      </c>
      <c r="C8" s="147" t="s">
        <v>404</v>
      </c>
      <c r="D8" s="498"/>
      <c r="E8" s="205" t="s">
        <v>139</v>
      </c>
    </row>
    <row r="9" spans="1:5" ht="17.399999999999999">
      <c r="A9" s="94"/>
      <c r="B9" s="147" t="s">
        <v>405</v>
      </c>
      <c r="C9" s="147" t="s">
        <v>406</v>
      </c>
      <c r="D9" s="498"/>
      <c r="E9" s="205" t="s">
        <v>139</v>
      </c>
    </row>
    <row r="10" spans="1:5" ht="17.399999999999999">
      <c r="A10" s="94"/>
      <c r="B10" s="147" t="s">
        <v>407</v>
      </c>
      <c r="C10" s="147" t="s">
        <v>408</v>
      </c>
      <c r="D10" s="498"/>
      <c r="E10" s="205" t="s">
        <v>139</v>
      </c>
    </row>
    <row r="11" spans="1:5" ht="17.399999999999999">
      <c r="A11" s="94"/>
      <c r="B11" s="147" t="s">
        <v>409</v>
      </c>
      <c r="C11" s="147" t="s">
        <v>410</v>
      </c>
      <c r="D11" s="498"/>
      <c r="E11" s="205" t="s">
        <v>139</v>
      </c>
    </row>
    <row r="12" spans="1:5" ht="17.399999999999999">
      <c r="A12" s="94"/>
      <c r="B12" s="147" t="s">
        <v>411</v>
      </c>
      <c r="C12" s="147" t="s">
        <v>412</v>
      </c>
      <c r="D12" s="498"/>
      <c r="E12" s="205" t="s">
        <v>139</v>
      </c>
    </row>
    <row r="13" spans="1:5" ht="15" customHeight="1">
      <c r="A13" s="94"/>
      <c r="B13" s="147" t="s">
        <v>413</v>
      </c>
      <c r="C13" s="147" t="s">
        <v>414</v>
      </c>
      <c r="D13" s="498"/>
      <c r="E13" s="205" t="s">
        <v>139</v>
      </c>
    </row>
    <row r="14" spans="1:5" ht="17.399999999999999">
      <c r="A14" s="94"/>
      <c r="B14" s="147" t="s">
        <v>415</v>
      </c>
      <c r="C14" s="147" t="s">
        <v>416</v>
      </c>
      <c r="D14" s="498"/>
      <c r="E14" s="205" t="s">
        <v>139</v>
      </c>
    </row>
    <row r="15" spans="1:5" ht="17.399999999999999">
      <c r="A15" s="94"/>
      <c r="B15" s="147" t="s">
        <v>417</v>
      </c>
      <c r="C15" s="147" t="s">
        <v>418</v>
      </c>
      <c r="D15" s="498"/>
      <c r="E15" s="205" t="s">
        <v>139</v>
      </c>
    </row>
    <row r="16" spans="1:5" ht="17.399999999999999">
      <c r="A16" s="94"/>
      <c r="B16" s="147" t="s">
        <v>419</v>
      </c>
      <c r="C16" s="147" t="s">
        <v>420</v>
      </c>
      <c r="D16" s="498"/>
      <c r="E16" s="205" t="s">
        <v>139</v>
      </c>
    </row>
    <row r="17" spans="1:7" ht="17.399999999999999">
      <c r="A17" s="94"/>
      <c r="B17" s="147" t="s">
        <v>421</v>
      </c>
      <c r="C17" s="147" t="s">
        <v>422</v>
      </c>
      <c r="D17" s="498"/>
      <c r="E17" s="205" t="s">
        <v>139</v>
      </c>
    </row>
    <row r="18" spans="1:7" ht="17.399999999999999">
      <c r="A18" s="94"/>
      <c r="B18" s="147" t="s">
        <v>423</v>
      </c>
      <c r="C18" s="147" t="s">
        <v>424</v>
      </c>
      <c r="D18" s="498"/>
      <c r="E18" s="205" t="s">
        <v>139</v>
      </c>
    </row>
    <row r="19" spans="1:7" ht="17.399999999999999">
      <c r="A19" s="94"/>
      <c r="B19" s="147" t="s">
        <v>425</v>
      </c>
      <c r="C19" s="147" t="s">
        <v>422</v>
      </c>
      <c r="D19" s="498"/>
      <c r="E19" s="205" t="s">
        <v>139</v>
      </c>
    </row>
    <row r="20" spans="1:7">
      <c r="A20" s="94"/>
      <c r="B20" s="145" t="s">
        <v>329</v>
      </c>
      <c r="C20" s="97" t="s">
        <v>1361</v>
      </c>
      <c r="D20" s="419" t="s">
        <v>6</v>
      </c>
      <c r="E20" s="14">
        <f>IF(COUNTIF(E8:E19,"☑")=12,1,0)</f>
        <v>0</v>
      </c>
    </row>
    <row r="21" spans="1:7" s="496" customFormat="1">
      <c r="A21" s="495"/>
      <c r="B21" s="212"/>
      <c r="C21" s="212"/>
      <c r="D21" s="212"/>
      <c r="E21" s="212"/>
      <c r="F21" s="93"/>
      <c r="G21" s="93"/>
    </row>
    <row r="22" spans="1:7" s="496" customFormat="1">
      <c r="A22" s="495"/>
      <c r="B22" s="539" t="s">
        <v>113</v>
      </c>
      <c r="C22" s="539"/>
      <c r="D22" s="275" t="s">
        <v>189</v>
      </c>
      <c r="E22" s="8">
        <f>C1</f>
        <v>0</v>
      </c>
      <c r="F22" s="93"/>
      <c r="G22" s="93"/>
    </row>
    <row r="23" spans="1:7">
      <c r="A23" s="94"/>
      <c r="B23" s="497"/>
      <c r="C23" s="497"/>
      <c r="D23" s="497"/>
      <c r="E23" s="497"/>
    </row>
    <row r="24" spans="1:7" ht="13.8" customHeight="1">
      <c r="A24" s="94"/>
      <c r="B24" s="537" t="s">
        <v>146</v>
      </c>
      <c r="C24" s="537"/>
      <c r="D24" s="537"/>
      <c r="E24" s="537"/>
    </row>
    <row r="25" spans="1:7" ht="17.399999999999999" customHeight="1">
      <c r="A25" s="103"/>
      <c r="B25" s="538" t="s">
        <v>1200</v>
      </c>
      <c r="C25" s="538"/>
      <c r="D25" s="538"/>
      <c r="E25" s="101" t="s">
        <v>139</v>
      </c>
    </row>
    <row r="26" spans="1:7" ht="17.399999999999999" customHeight="1">
      <c r="A26" s="103"/>
      <c r="B26" s="538" t="s">
        <v>1201</v>
      </c>
      <c r="C26" s="538"/>
      <c r="D26" s="538"/>
      <c r="E26" s="101" t="s">
        <v>139</v>
      </c>
    </row>
    <row r="27" spans="1:7" ht="17.399999999999999" customHeight="1">
      <c r="A27" s="103"/>
      <c r="B27" s="538" t="s">
        <v>1202</v>
      </c>
      <c r="C27" s="538"/>
      <c r="D27" s="538"/>
      <c r="E27" s="101" t="s">
        <v>139</v>
      </c>
    </row>
    <row r="28" spans="1:7" ht="13.8" customHeight="1">
      <c r="A28" s="103"/>
      <c r="B28" s="531" t="s">
        <v>147</v>
      </c>
      <c r="C28" s="531"/>
      <c r="D28" s="531"/>
      <c r="E28" s="531"/>
    </row>
    <row r="29" spans="1:7" ht="14.4">
      <c r="A29" s="103"/>
      <c r="B29" s="97"/>
      <c r="C29" s="97"/>
      <c r="D29" s="97"/>
      <c r="E29" s="97"/>
    </row>
    <row r="30" spans="1:7" ht="14.4">
      <c r="A30" s="103"/>
      <c r="B30" s="97"/>
      <c r="C30" s="97"/>
      <c r="D30" s="97"/>
      <c r="E30" s="97"/>
    </row>
    <row r="31" spans="1:7" ht="14.4">
      <c r="A31" s="103"/>
      <c r="B31" s="97"/>
      <c r="C31" s="97"/>
      <c r="D31" s="97"/>
      <c r="E31" s="97"/>
    </row>
    <row r="32" spans="1:7">
      <c r="A32" s="94"/>
      <c r="B32" s="97"/>
      <c r="C32" s="97"/>
      <c r="D32" s="97"/>
      <c r="E32" s="97"/>
    </row>
    <row r="33" spans="1:5">
      <c r="A33" s="94"/>
      <c r="B33" s="97"/>
      <c r="C33" s="97"/>
      <c r="D33" s="97"/>
      <c r="E33" s="97"/>
    </row>
  </sheetData>
  <sheetProtection sheet="1" objects="1" scenarios="1"/>
  <mergeCells count="9">
    <mergeCell ref="B22:C22"/>
    <mergeCell ref="B4:E4"/>
    <mergeCell ref="B6:E6"/>
    <mergeCell ref="B5:D5"/>
    <mergeCell ref="B28:E28"/>
    <mergeCell ref="B26:D26"/>
    <mergeCell ref="B27:D27"/>
    <mergeCell ref="B24:E24"/>
    <mergeCell ref="B25:D25"/>
  </mergeCells>
  <conditionalFormatting sqref="E20">
    <cfRule type="containsText" dxfId="32" priority="3" operator="containsText" text="Not Compliant">
      <formula>NOT(ISERROR(SEARCH("Not Compliant",E20)))</formula>
    </cfRule>
    <cfRule type="containsText" dxfId="31" priority="4" operator="containsText" text="Compliant">
      <formula>NOT(ISERROR(SEARCH("Compliant",E20)))</formula>
    </cfRule>
  </conditionalFormatting>
  <dataValidations count="2">
    <dataValidation type="decimal" sqref="C1" xr:uid="{00000000-0002-0000-3500-000000000000}">
      <formula1>0</formula1>
      <formula2>1</formula2>
    </dataValidation>
    <dataValidation type="list" sqref="A1 E25:E27 E8:E19" xr:uid="{00000000-0002-0000-3500-000001000000}">
      <formula1>"☐,☑"</formula1>
    </dataValidation>
  </dataValidation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A1:E37"/>
  <sheetViews>
    <sheetView workbookViewId="0">
      <selection activeCell="B37" sqref="B37"/>
    </sheetView>
  </sheetViews>
  <sheetFormatPr defaultRowHeight="13.8"/>
  <cols>
    <col min="1" max="1" width="6" style="93" customWidth="1"/>
    <col min="2" max="2" width="39" style="93" customWidth="1"/>
    <col min="3" max="4" width="26" style="93" customWidth="1"/>
    <col min="5" max="5" width="18" style="93" customWidth="1"/>
    <col min="6" max="16384" width="8.796875" style="93"/>
  </cols>
  <sheetData>
    <row r="1" spans="1:5" ht="17.399999999999999">
      <c r="A1" s="91" t="s">
        <v>134</v>
      </c>
      <c r="B1" s="92" t="s">
        <v>163</v>
      </c>
      <c r="C1" s="9">
        <f>E12+E19</f>
        <v>2</v>
      </c>
      <c r="D1" s="92" t="s">
        <v>317</v>
      </c>
      <c r="E1" s="92">
        <f>IF('Project Info'!$C$8="New Hotel",2,2)</f>
        <v>2</v>
      </c>
    </row>
    <row r="2" spans="1:5" ht="42">
      <c r="A2" s="94"/>
      <c r="B2" s="95" t="s">
        <v>115</v>
      </c>
      <c r="C2" s="95"/>
      <c r="D2" s="95"/>
      <c r="E2" s="95" t="s">
        <v>114</v>
      </c>
    </row>
    <row r="3" spans="1:5" ht="15.6">
      <c r="A3" s="94"/>
      <c r="B3" s="96" t="s">
        <v>5</v>
      </c>
      <c r="C3" s="97"/>
      <c r="D3" s="97"/>
      <c r="E3" s="97" t="str">
        <f>HYPERLINK("#'Checklist'!A1","Go To Checklist")</f>
        <v>Go To Checklist</v>
      </c>
    </row>
    <row r="4" spans="1:5" ht="52.2" customHeight="1">
      <c r="A4" s="94"/>
      <c r="B4" s="533" t="s">
        <v>710</v>
      </c>
      <c r="C4" s="534"/>
      <c r="D4" s="534"/>
      <c r="E4" s="535"/>
    </row>
    <row r="5" spans="1:5" ht="15.6" customHeight="1">
      <c r="A5" s="94"/>
      <c r="B5" s="562" t="s">
        <v>918</v>
      </c>
      <c r="C5" s="562"/>
      <c r="D5" s="562"/>
      <c r="E5" s="98"/>
    </row>
    <row r="6" spans="1:5" ht="15.6" customHeight="1">
      <c r="A6" s="94"/>
      <c r="B6" s="529" t="s">
        <v>1258</v>
      </c>
      <c r="C6" s="529"/>
      <c r="D6" s="529"/>
      <c r="E6" s="529"/>
    </row>
    <row r="7" spans="1:5">
      <c r="A7" s="94"/>
      <c r="B7" s="592" t="s">
        <v>1205</v>
      </c>
      <c r="C7" s="592"/>
      <c r="D7" s="592"/>
      <c r="E7" s="592"/>
    </row>
    <row r="8" spans="1:5" ht="15.6">
      <c r="A8" s="94"/>
      <c r="B8" s="957" t="str">
        <f>HYPERLINK("#'F&amp;B Sheet'!A1","Click here to go to F&amp;B Sheet and fill in the data")</f>
        <v>Click here to go to F&amp;B Sheet and fill in the data</v>
      </c>
      <c r="C8" s="614"/>
      <c r="D8" s="614"/>
      <c r="E8" s="614"/>
    </row>
    <row r="9" spans="1:5">
      <c r="A9" s="94"/>
      <c r="B9" s="147" t="s">
        <v>1381</v>
      </c>
      <c r="C9" s="147" t="s">
        <v>426</v>
      </c>
      <c r="D9" s="147"/>
      <c r="E9" s="493">
        <f>'F&amp;B sheet'!H8</f>
        <v>100</v>
      </c>
    </row>
    <row r="10" spans="1:5">
      <c r="A10" s="94"/>
      <c r="B10" s="147" t="s">
        <v>1203</v>
      </c>
      <c r="C10" s="147" t="s">
        <v>426</v>
      </c>
      <c r="D10" s="147"/>
      <c r="E10" s="493">
        <f>'F&amp;B sheet'!H9</f>
        <v>100</v>
      </c>
    </row>
    <row r="11" spans="1:5">
      <c r="A11" s="94"/>
      <c r="B11" s="147" t="s">
        <v>169</v>
      </c>
      <c r="C11" s="147" t="s">
        <v>170</v>
      </c>
      <c r="D11" s="147"/>
      <c r="E11" s="494">
        <f>IFERROR(E10/E9,0)</f>
        <v>1</v>
      </c>
    </row>
    <row r="12" spans="1:5">
      <c r="A12" s="94"/>
      <c r="B12" s="491" t="s">
        <v>329</v>
      </c>
      <c r="C12" s="97" t="s">
        <v>427</v>
      </c>
      <c r="D12" s="419" t="s">
        <v>6</v>
      </c>
      <c r="E12" s="14">
        <f>IF(AND(E11&lt;&gt;"",E11&gt;=10%),1,0)</f>
        <v>1</v>
      </c>
    </row>
    <row r="13" spans="1:5">
      <c r="A13" s="94"/>
      <c r="B13" s="616" t="s">
        <v>917</v>
      </c>
      <c r="C13" s="616"/>
      <c r="D13" s="616"/>
      <c r="E13" s="616"/>
    </row>
    <row r="14" spans="1:5" ht="13.8" customHeight="1">
      <c r="A14" s="94"/>
      <c r="B14" s="592" t="s">
        <v>1206</v>
      </c>
      <c r="C14" s="592"/>
      <c r="D14" s="592"/>
      <c r="E14" s="592"/>
    </row>
    <row r="15" spans="1:5" ht="15.6">
      <c r="A15" s="492"/>
      <c r="B15" s="957" t="str">
        <f>HYPERLINK("#'Animal Products sheet'!A1","Click here to go to Animal Products sheet and fill in the data")</f>
        <v>Click here to go to Animal Products sheet and fill in the data</v>
      </c>
      <c r="C15" s="614"/>
      <c r="D15" s="614"/>
      <c r="E15" s="614"/>
    </row>
    <row r="16" spans="1:5">
      <c r="A16" s="94"/>
      <c r="B16" s="147" t="s">
        <v>1382</v>
      </c>
      <c r="C16" s="147" t="s">
        <v>426</v>
      </c>
      <c r="D16" s="147"/>
      <c r="E16" s="493">
        <f>'Animal Products sheet'!H9</f>
        <v>100</v>
      </c>
    </row>
    <row r="17" spans="1:5">
      <c r="A17" s="94"/>
      <c r="B17" s="147" t="s">
        <v>428</v>
      </c>
      <c r="C17" s="147" t="s">
        <v>426</v>
      </c>
      <c r="D17" s="147"/>
      <c r="E17" s="493">
        <f>'Animal Products sheet'!H10</f>
        <v>100</v>
      </c>
    </row>
    <row r="18" spans="1:5">
      <c r="A18" s="94"/>
      <c r="B18" s="147" t="s">
        <v>169</v>
      </c>
      <c r="C18" s="147" t="s">
        <v>170</v>
      </c>
      <c r="D18" s="147"/>
      <c r="E18" s="494">
        <f>IFERROR(E17/E16,0)</f>
        <v>1</v>
      </c>
    </row>
    <row r="19" spans="1:5">
      <c r="A19" s="94"/>
      <c r="B19" s="491" t="s">
        <v>329</v>
      </c>
      <c r="C19" s="97" t="s">
        <v>427</v>
      </c>
      <c r="D19" s="419" t="s">
        <v>6</v>
      </c>
      <c r="E19" s="14">
        <f>IF(AND(E18&lt;&gt;"",E18&gt;=10%),1,0)</f>
        <v>1</v>
      </c>
    </row>
    <row r="20" spans="1:5">
      <c r="A20" s="94"/>
      <c r="B20" s="539" t="s">
        <v>115</v>
      </c>
      <c r="C20" s="539"/>
      <c r="D20" s="275" t="s">
        <v>189</v>
      </c>
      <c r="E20" s="8">
        <f>C1</f>
        <v>2</v>
      </c>
    </row>
    <row r="21" spans="1:5" ht="13.8" customHeight="1">
      <c r="A21" s="94"/>
      <c r="B21" s="97"/>
      <c r="C21" s="97"/>
      <c r="D21" s="97"/>
      <c r="E21" s="97"/>
    </row>
    <row r="22" spans="1:5" ht="17.399999999999999" customHeight="1">
      <c r="A22" s="94"/>
      <c r="B22" s="537" t="s">
        <v>146</v>
      </c>
      <c r="C22" s="537"/>
      <c r="D22" s="537"/>
      <c r="E22" s="537"/>
    </row>
    <row r="23" spans="1:5" ht="17.399999999999999" customHeight="1">
      <c r="A23" s="94"/>
      <c r="B23" s="748" t="s">
        <v>1207</v>
      </c>
      <c r="C23" s="748"/>
      <c r="D23" s="748"/>
      <c r="E23" s="101"/>
    </row>
    <row r="24" spans="1:5" ht="17.399999999999999" customHeight="1">
      <c r="A24" s="103"/>
      <c r="B24" s="538" t="s">
        <v>1208</v>
      </c>
      <c r="C24" s="538"/>
      <c r="D24" s="538"/>
      <c r="E24" s="101" t="s">
        <v>139</v>
      </c>
    </row>
    <row r="25" spans="1:5" ht="17.399999999999999" customHeight="1">
      <c r="A25" s="103"/>
      <c r="B25" s="538" t="s">
        <v>1209</v>
      </c>
      <c r="C25" s="538"/>
      <c r="D25" s="538"/>
      <c r="E25" s="101" t="s">
        <v>139</v>
      </c>
    </row>
    <row r="26" spans="1:5" ht="17.399999999999999" customHeight="1">
      <c r="A26" s="103"/>
      <c r="B26" s="538" t="s">
        <v>1210</v>
      </c>
      <c r="C26" s="538"/>
      <c r="D26" s="538"/>
      <c r="E26" s="101" t="s">
        <v>139</v>
      </c>
    </row>
    <row r="27" spans="1:5" ht="15" customHeight="1">
      <c r="A27" s="103"/>
      <c r="B27" s="538" t="s">
        <v>1211</v>
      </c>
      <c r="C27" s="538"/>
      <c r="D27" s="538"/>
      <c r="E27" s="101" t="s">
        <v>139</v>
      </c>
    </row>
    <row r="28" spans="1:5" ht="15.6" customHeight="1">
      <c r="A28" s="103"/>
      <c r="B28" s="581" t="s">
        <v>1212</v>
      </c>
      <c r="C28" s="581"/>
      <c r="D28" s="581"/>
      <c r="E28" s="97"/>
    </row>
    <row r="29" spans="1:5" ht="15" customHeight="1">
      <c r="A29" s="103"/>
      <c r="B29" s="560" t="s">
        <v>1213</v>
      </c>
      <c r="C29" s="560"/>
      <c r="D29" s="560"/>
      <c r="E29" s="97"/>
    </row>
    <row r="30" spans="1:5" ht="15" customHeight="1">
      <c r="A30" s="103"/>
      <c r="B30" s="560" t="s">
        <v>1214</v>
      </c>
      <c r="C30" s="560"/>
      <c r="D30" s="560"/>
      <c r="E30" s="97"/>
    </row>
    <row r="31" spans="1:5" ht="13.8" customHeight="1">
      <c r="A31" s="103"/>
      <c r="B31" s="560" t="s">
        <v>1215</v>
      </c>
      <c r="C31" s="560"/>
      <c r="D31" s="560"/>
      <c r="E31" s="97"/>
    </row>
    <row r="32" spans="1:5" ht="14.4">
      <c r="A32" s="103"/>
      <c r="B32" s="531" t="s">
        <v>147</v>
      </c>
      <c r="C32" s="531"/>
      <c r="D32" s="531"/>
      <c r="E32" s="531"/>
    </row>
    <row r="33" spans="1:5" ht="14.4">
      <c r="A33" s="103"/>
      <c r="B33" s="97"/>
      <c r="C33" s="97"/>
      <c r="D33" s="97"/>
      <c r="E33" s="97"/>
    </row>
    <row r="34" spans="1:5" ht="14.4">
      <c r="A34" s="103"/>
      <c r="B34" s="97"/>
      <c r="C34" s="97"/>
      <c r="D34" s="97"/>
      <c r="E34" s="97"/>
    </row>
    <row r="35" spans="1:5" ht="14.4">
      <c r="A35" s="103"/>
      <c r="B35" s="97"/>
      <c r="C35" s="97"/>
      <c r="D35" s="97"/>
      <c r="E35" s="97"/>
    </row>
    <row r="36" spans="1:5">
      <c r="A36" s="94"/>
      <c r="B36" s="97"/>
      <c r="C36" s="97"/>
      <c r="D36" s="97"/>
      <c r="E36" s="97"/>
    </row>
    <row r="37" spans="1:5">
      <c r="A37" s="94"/>
      <c r="B37" s="97"/>
      <c r="C37" s="97"/>
      <c r="D37" s="97"/>
      <c r="E37" s="97"/>
    </row>
  </sheetData>
  <sheetProtection sheet="1" objects="1" scenarios="1"/>
  <mergeCells count="20">
    <mergeCell ref="B32:E32"/>
    <mergeCell ref="B27:D27"/>
    <mergeCell ref="B22:E22"/>
    <mergeCell ref="B25:D25"/>
    <mergeCell ref="B26:D26"/>
    <mergeCell ref="B31:D31"/>
    <mergeCell ref="B29:D29"/>
    <mergeCell ref="B30:D30"/>
    <mergeCell ref="B23:D23"/>
    <mergeCell ref="B24:D24"/>
    <mergeCell ref="B28:D28"/>
    <mergeCell ref="B4:E4"/>
    <mergeCell ref="B7:E7"/>
    <mergeCell ref="B14:E14"/>
    <mergeCell ref="B20:C20"/>
    <mergeCell ref="B13:E13"/>
    <mergeCell ref="B5:D5"/>
    <mergeCell ref="B6:E6"/>
    <mergeCell ref="B8:E8"/>
    <mergeCell ref="B15:E15"/>
  </mergeCells>
  <conditionalFormatting sqref="E12">
    <cfRule type="containsText" dxfId="30" priority="19" operator="containsText" text="Not Compliant">
      <formula>NOT(ISERROR(SEARCH("Not Compliant",E12)))</formula>
    </cfRule>
    <cfRule type="containsText" dxfId="29" priority="20" operator="containsText" text="Compliant">
      <formula>NOT(ISERROR(SEARCH("Compliant",E12)))</formula>
    </cfRule>
  </conditionalFormatting>
  <conditionalFormatting sqref="E19">
    <cfRule type="containsText" dxfId="28" priority="17" operator="containsText" text="Not Compliant">
      <formula>NOT(ISERROR(SEARCH("Not Compliant",E19)))</formula>
    </cfRule>
    <cfRule type="containsText" dxfId="27" priority="18" operator="containsText" text="Compliant">
      <formula>NOT(ISERROR(SEARCH("Compliant",E19)))</formula>
    </cfRule>
  </conditionalFormatting>
  <conditionalFormatting sqref="E13">
    <cfRule type="containsText" dxfId="26" priority="15" operator="containsText" text="Not Compliant">
      <formula>NOT(ISERROR(SEARCH("Not Compliant",E13)))</formula>
    </cfRule>
    <cfRule type="containsText" dxfId="25" priority="16" operator="containsText" text="Compliant">
      <formula>NOT(ISERROR(SEARCH("Compliant",E13)))</formula>
    </cfRule>
  </conditionalFormatting>
  <dataValidations count="2">
    <dataValidation type="decimal" sqref="C1" xr:uid="{00000000-0002-0000-3600-000000000000}">
      <formula1>0</formula1>
      <formula2>2</formula2>
    </dataValidation>
    <dataValidation type="list" sqref="A1 E23:E27" xr:uid="{00000000-0002-0000-3600-000001000000}">
      <formula1>"☐,☑"</formula1>
    </dataValidation>
  </dataValidation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A2C8E-3DC0-4CAE-994C-B2C78D22F038}">
  <sheetPr codeName="Sheet65">
    <tabColor rgb="FFC00000"/>
  </sheetPr>
  <dimension ref="A1:H56"/>
  <sheetViews>
    <sheetView workbookViewId="0">
      <selection sqref="A1:D1"/>
    </sheetView>
  </sheetViews>
  <sheetFormatPr defaultRowHeight="13.8"/>
  <cols>
    <col min="1" max="1" width="21" customWidth="1"/>
    <col min="2" max="2" width="27.19921875" customWidth="1"/>
    <col min="3" max="3" width="22.69921875" customWidth="1"/>
    <col min="4" max="4" width="17.796875" customWidth="1"/>
    <col min="6" max="6" width="23.19921875" customWidth="1"/>
    <col min="7" max="7" width="22.3984375" customWidth="1"/>
    <col min="8" max="8" width="12.3984375" customWidth="1"/>
  </cols>
  <sheetData>
    <row r="1" spans="1:8" ht="17.399999999999999">
      <c r="A1" s="898" t="s">
        <v>1627</v>
      </c>
      <c r="B1" s="898"/>
      <c r="C1" s="898"/>
      <c r="D1" s="898"/>
    </row>
    <row r="2" spans="1:8" ht="14.4">
      <c r="A2" s="899" t="s">
        <v>1062</v>
      </c>
      <c r="B2" s="899"/>
      <c r="C2" s="899"/>
      <c r="D2" s="899"/>
      <c r="E2" s="52"/>
    </row>
    <row r="3" spans="1:8" ht="15.6">
      <c r="A3" s="53" t="s">
        <v>1052</v>
      </c>
      <c r="B3" s="900"/>
      <c r="C3" s="900"/>
      <c r="D3" s="900"/>
    </row>
    <row r="4" spans="1:8" ht="15.6">
      <c r="A4" s="53" t="s">
        <v>1053</v>
      </c>
      <c r="B4" s="901" t="s">
        <v>1054</v>
      </c>
      <c r="C4" s="901"/>
      <c r="D4" s="901"/>
    </row>
    <row r="5" spans="1:8" ht="15.6">
      <c r="A5" s="53" t="s">
        <v>1554</v>
      </c>
      <c r="B5" s="901" t="s">
        <v>1555</v>
      </c>
      <c r="C5" s="901"/>
      <c r="D5" s="901"/>
    </row>
    <row r="6" spans="1:8" ht="34.799999999999997" customHeight="1">
      <c r="A6" s="83" t="s">
        <v>1048</v>
      </c>
      <c r="B6" s="73" t="s">
        <v>1623</v>
      </c>
      <c r="C6" s="83" t="str">
        <f>IF(B5="By Cost","Cost of the Item (₹)",IF(B5="By Weight","Weight of the Item (kg)",""))</f>
        <v>Cost of the Item (₹)</v>
      </c>
      <c r="D6" s="84" t="s">
        <v>1626</v>
      </c>
    </row>
    <row r="7" spans="1:8">
      <c r="A7" s="25">
        <v>1</v>
      </c>
      <c r="B7" s="25" t="s">
        <v>1558</v>
      </c>
      <c r="C7" s="25">
        <v>100</v>
      </c>
      <c r="D7" s="25" t="s">
        <v>984</v>
      </c>
    </row>
    <row r="8" spans="1:8">
      <c r="A8" s="25">
        <v>2</v>
      </c>
      <c r="B8" s="25"/>
      <c r="C8" s="25"/>
      <c r="D8" s="25"/>
      <c r="F8" s="897" t="str">
        <f>IF(B5="By Cost","Total cost of Fruits, Vegetables &amp; Grains",IF(B5="By Weight","Total weight of Fruits, Vegetables &amp; Grains",""))</f>
        <v>Total cost of Fruits, Vegetables &amp; Grains</v>
      </c>
      <c r="G8" s="897"/>
      <c r="H8" s="32">
        <f>SUM(C7:C56)</f>
        <v>100</v>
      </c>
    </row>
    <row r="9" spans="1:8">
      <c r="A9" s="25">
        <v>3</v>
      </c>
      <c r="B9" s="25"/>
      <c r="C9" s="25"/>
      <c r="D9" s="25"/>
      <c r="F9" s="897" t="str">
        <f>IF(B5="By Cost","Cost of certified organic items",IF(B5="By Weight","Weight of certified organic items",""))</f>
        <v>Cost of certified organic items</v>
      </c>
      <c r="G9" s="897"/>
      <c r="H9" s="31">
        <f>SUMIF(D7:D56,"Yes",C7:C56)</f>
        <v>100</v>
      </c>
    </row>
    <row r="10" spans="1:8">
      <c r="A10" s="25">
        <v>4</v>
      </c>
      <c r="B10" s="25"/>
      <c r="C10" s="25"/>
      <c r="D10" s="25"/>
    </row>
    <row r="11" spans="1:8">
      <c r="A11" s="25">
        <v>5</v>
      </c>
      <c r="B11" s="25"/>
      <c r="C11" s="25"/>
      <c r="D11" s="25"/>
      <c r="F11" s="909"/>
      <c r="G11" s="909"/>
      <c r="H11" s="3"/>
    </row>
    <row r="12" spans="1:8">
      <c r="A12" s="25">
        <v>6</v>
      </c>
      <c r="B12" s="25"/>
      <c r="C12" s="25"/>
      <c r="D12" s="25"/>
      <c r="F12" s="958"/>
      <c r="G12" s="958"/>
      <c r="H12" s="3"/>
    </row>
    <row r="13" spans="1:8">
      <c r="A13" s="25">
        <v>7</v>
      </c>
      <c r="B13" s="25"/>
      <c r="C13" s="25"/>
      <c r="D13" s="25"/>
    </row>
    <row r="14" spans="1:8">
      <c r="A14" s="25">
        <v>8</v>
      </c>
      <c r="B14" s="25"/>
      <c r="C14" s="25"/>
      <c r="D14" s="25"/>
    </row>
    <row r="15" spans="1:8">
      <c r="A15" s="25">
        <v>9</v>
      </c>
      <c r="B15" s="25"/>
      <c r="C15" s="25"/>
      <c r="D15" s="25"/>
    </row>
    <row r="16" spans="1:8">
      <c r="A16" s="25">
        <v>10</v>
      </c>
      <c r="B16" s="25"/>
      <c r="C16" s="25"/>
      <c r="D16" s="25"/>
    </row>
    <row r="17" spans="1:4">
      <c r="A17" s="25">
        <v>11</v>
      </c>
      <c r="B17" s="25"/>
      <c r="C17" s="25"/>
      <c r="D17" s="25"/>
    </row>
    <row r="18" spans="1:4">
      <c r="A18" s="25">
        <v>12</v>
      </c>
      <c r="B18" s="25"/>
      <c r="C18" s="25"/>
      <c r="D18" s="25"/>
    </row>
    <row r="19" spans="1:4">
      <c r="A19" s="25">
        <v>13</v>
      </c>
      <c r="B19" s="25"/>
      <c r="C19" s="25"/>
      <c r="D19" s="25"/>
    </row>
    <row r="20" spans="1:4">
      <c r="A20" s="25">
        <v>14</v>
      </c>
      <c r="B20" s="25"/>
      <c r="C20" s="25"/>
      <c r="D20" s="25"/>
    </row>
    <row r="21" spans="1:4">
      <c r="A21" s="25">
        <v>15</v>
      </c>
      <c r="B21" s="25"/>
      <c r="C21" s="25"/>
      <c r="D21" s="25"/>
    </row>
    <row r="22" spans="1:4">
      <c r="A22" s="25">
        <v>16</v>
      </c>
      <c r="B22" s="25"/>
      <c r="C22" s="25"/>
      <c r="D22" s="25"/>
    </row>
    <row r="23" spans="1:4">
      <c r="A23" s="25">
        <v>17</v>
      </c>
      <c r="B23" s="25"/>
      <c r="C23" s="25"/>
      <c r="D23" s="25"/>
    </row>
    <row r="24" spans="1:4">
      <c r="A24" s="25">
        <v>18</v>
      </c>
      <c r="B24" s="25"/>
      <c r="C24" s="25"/>
      <c r="D24" s="25"/>
    </row>
    <row r="25" spans="1:4">
      <c r="A25" s="25">
        <v>19</v>
      </c>
      <c r="B25" s="25"/>
      <c r="C25" s="25"/>
      <c r="D25" s="25"/>
    </row>
    <row r="26" spans="1:4">
      <c r="A26" s="25">
        <v>20</v>
      </c>
      <c r="B26" s="25"/>
      <c r="C26" s="25"/>
      <c r="D26" s="25"/>
    </row>
    <row r="27" spans="1:4">
      <c r="A27" s="25">
        <v>21</v>
      </c>
      <c r="B27" s="25"/>
      <c r="C27" s="25"/>
      <c r="D27" s="25"/>
    </row>
    <row r="28" spans="1:4">
      <c r="A28" s="25">
        <v>22</v>
      </c>
      <c r="B28" s="25"/>
      <c r="C28" s="25"/>
      <c r="D28" s="25"/>
    </row>
    <row r="29" spans="1:4">
      <c r="A29" s="25">
        <v>23</v>
      </c>
      <c r="B29" s="25"/>
      <c r="C29" s="25"/>
      <c r="D29" s="25"/>
    </row>
    <row r="30" spans="1:4">
      <c r="A30" s="25">
        <v>24</v>
      </c>
      <c r="B30" s="25"/>
      <c r="C30" s="25"/>
      <c r="D30" s="25"/>
    </row>
    <row r="31" spans="1:4">
      <c r="A31" s="25">
        <v>25</v>
      </c>
      <c r="B31" s="25"/>
      <c r="C31" s="25"/>
      <c r="D31" s="25"/>
    </row>
    <row r="32" spans="1:4">
      <c r="A32" s="25">
        <v>26</v>
      </c>
      <c r="B32" s="25"/>
      <c r="C32" s="25"/>
      <c r="D32" s="25"/>
    </row>
    <row r="33" spans="1:4">
      <c r="A33" s="25">
        <v>27</v>
      </c>
      <c r="B33" s="25"/>
      <c r="C33" s="25"/>
      <c r="D33" s="25"/>
    </row>
    <row r="34" spans="1:4">
      <c r="A34" s="25">
        <v>28</v>
      </c>
      <c r="B34" s="25"/>
      <c r="C34" s="25"/>
      <c r="D34" s="25"/>
    </row>
    <row r="35" spans="1:4">
      <c r="A35" s="25">
        <v>29</v>
      </c>
      <c r="B35" s="25"/>
      <c r="C35" s="25"/>
      <c r="D35" s="25"/>
    </row>
    <row r="36" spans="1:4">
      <c r="A36" s="25">
        <v>30</v>
      </c>
      <c r="B36" s="25"/>
      <c r="C36" s="25"/>
      <c r="D36" s="25"/>
    </row>
    <row r="37" spans="1:4">
      <c r="A37" s="25">
        <v>31</v>
      </c>
      <c r="B37" s="25"/>
      <c r="C37" s="25"/>
      <c r="D37" s="25"/>
    </row>
    <row r="38" spans="1:4">
      <c r="A38" s="25">
        <v>32</v>
      </c>
      <c r="B38" s="25"/>
      <c r="C38" s="25"/>
      <c r="D38" s="25"/>
    </row>
    <row r="39" spans="1:4">
      <c r="A39" s="25">
        <v>33</v>
      </c>
      <c r="B39" s="25"/>
      <c r="C39" s="25"/>
      <c r="D39" s="25"/>
    </row>
    <row r="40" spans="1:4">
      <c r="A40" s="25">
        <v>34</v>
      </c>
      <c r="B40" s="25"/>
      <c r="C40" s="25"/>
      <c r="D40" s="25"/>
    </row>
    <row r="41" spans="1:4">
      <c r="A41" s="25">
        <v>35</v>
      </c>
      <c r="B41" s="25"/>
      <c r="C41" s="25"/>
      <c r="D41" s="25"/>
    </row>
    <row r="42" spans="1:4">
      <c r="A42" s="25">
        <v>36</v>
      </c>
      <c r="B42" s="25"/>
      <c r="C42" s="25"/>
      <c r="D42" s="25"/>
    </row>
    <row r="43" spans="1:4">
      <c r="A43" s="25">
        <v>37</v>
      </c>
      <c r="B43" s="25"/>
      <c r="C43" s="25"/>
      <c r="D43" s="25"/>
    </row>
    <row r="44" spans="1:4">
      <c r="A44" s="25">
        <v>38</v>
      </c>
      <c r="B44" s="25"/>
      <c r="C44" s="25"/>
      <c r="D44" s="25"/>
    </row>
    <row r="45" spans="1:4">
      <c r="A45" s="25">
        <v>39</v>
      </c>
      <c r="B45" s="25"/>
      <c r="C45" s="25"/>
      <c r="D45" s="25"/>
    </row>
    <row r="46" spans="1:4">
      <c r="A46" s="25">
        <v>40</v>
      </c>
      <c r="B46" s="25"/>
      <c r="C46" s="25"/>
      <c r="D46" s="25"/>
    </row>
    <row r="47" spans="1:4">
      <c r="A47" s="25">
        <v>41</v>
      </c>
      <c r="B47" s="25"/>
      <c r="C47" s="25"/>
      <c r="D47" s="25"/>
    </row>
    <row r="48" spans="1:4">
      <c r="A48" s="25">
        <v>42</v>
      </c>
      <c r="B48" s="25"/>
      <c r="C48" s="25"/>
      <c r="D48" s="25"/>
    </row>
    <row r="49" spans="1:4">
      <c r="A49" s="25">
        <v>43</v>
      </c>
      <c r="B49" s="25"/>
      <c r="C49" s="25"/>
      <c r="D49" s="25"/>
    </row>
    <row r="50" spans="1:4">
      <c r="A50" s="25">
        <v>44</v>
      </c>
      <c r="B50" s="25"/>
      <c r="C50" s="25"/>
      <c r="D50" s="25"/>
    </row>
    <row r="51" spans="1:4">
      <c r="A51" s="25">
        <v>45</v>
      </c>
      <c r="B51" s="25"/>
      <c r="C51" s="25"/>
      <c r="D51" s="25"/>
    </row>
    <row r="52" spans="1:4">
      <c r="A52" s="25">
        <v>46</v>
      </c>
      <c r="B52" s="25"/>
      <c r="C52" s="25"/>
      <c r="D52" s="25"/>
    </row>
    <row r="53" spans="1:4">
      <c r="A53" s="25">
        <v>47</v>
      </c>
      <c r="B53" s="25"/>
      <c r="C53" s="25"/>
      <c r="D53" s="25"/>
    </row>
    <row r="54" spans="1:4">
      <c r="A54" s="25">
        <v>48</v>
      </c>
      <c r="B54" s="25"/>
      <c r="C54" s="25"/>
      <c r="D54" s="25"/>
    </row>
    <row r="55" spans="1:4">
      <c r="A55" s="25">
        <v>49</v>
      </c>
      <c r="B55" s="25"/>
      <c r="C55" s="25"/>
      <c r="D55" s="25"/>
    </row>
    <row r="56" spans="1:4">
      <c r="A56" s="25">
        <v>50</v>
      </c>
      <c r="B56" s="25"/>
      <c r="C56" s="25"/>
      <c r="D56" s="25"/>
    </row>
  </sheetData>
  <mergeCells count="9">
    <mergeCell ref="F9:G9"/>
    <mergeCell ref="F11:G11"/>
    <mergeCell ref="F12:G12"/>
    <mergeCell ref="A1:D1"/>
    <mergeCell ref="A2:D2"/>
    <mergeCell ref="B3:D3"/>
    <mergeCell ref="B4:D4"/>
    <mergeCell ref="B5:D5"/>
    <mergeCell ref="F8:G8"/>
  </mergeCells>
  <conditionalFormatting sqref="D7:D56">
    <cfRule type="expression" dxfId="24" priority="1">
      <formula>$D7="Non-Local"</formula>
    </cfRule>
    <cfRule type="expression" dxfId="23" priority="2">
      <formula>$D7="Local"</formula>
    </cfRule>
  </conditionalFormatting>
  <dataValidations count="2">
    <dataValidation type="list" allowBlank="1" showInputMessage="1" showErrorMessage="1" sqref="B4" xr:uid="{DDF7906E-4641-482A-9717-4F208EE57EDA}">
      <formula1>"Hilly, Arid, Semi-arid, Others"</formula1>
    </dataValidation>
    <dataValidation type="list" allowBlank="1" showInputMessage="1" showErrorMessage="1" sqref="B5" xr:uid="{FEA55CCF-4AA4-455E-9C29-1275865883BC}">
      <formula1>"By Cost, By Weight"</formula1>
    </dataValidation>
  </dataValidation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E3AE2-874D-431D-AD3F-044324DD466B}">
  <sheetPr codeName="Sheet66">
    <tabColor rgb="FFC00000"/>
  </sheetPr>
  <dimension ref="A1:H46"/>
  <sheetViews>
    <sheetView workbookViewId="0">
      <selection activeCell="E17" sqref="E17"/>
    </sheetView>
  </sheetViews>
  <sheetFormatPr defaultRowHeight="13.8"/>
  <cols>
    <col min="1" max="1" width="21" customWidth="1"/>
    <col min="2" max="2" width="27.19921875" customWidth="1"/>
    <col min="3" max="3" width="22.69921875" customWidth="1"/>
    <col min="4" max="4" width="17.796875" customWidth="1"/>
    <col min="6" max="6" width="23.19921875" customWidth="1"/>
    <col min="7" max="7" width="22.3984375" customWidth="1"/>
    <col min="8" max="8" width="12.3984375" customWidth="1"/>
  </cols>
  <sheetData>
    <row r="1" spans="1:8" ht="17.399999999999999">
      <c r="A1" s="898" t="s">
        <v>428</v>
      </c>
      <c r="B1" s="898"/>
      <c r="C1" s="898"/>
      <c r="D1" s="898"/>
    </row>
    <row r="2" spans="1:8" ht="14.4">
      <c r="A2" s="899" t="s">
        <v>1062</v>
      </c>
      <c r="B2" s="899"/>
      <c r="C2" s="899"/>
      <c r="D2" s="899"/>
      <c r="E2" s="52"/>
    </row>
    <row r="3" spans="1:8" ht="15.6">
      <c r="A3" s="53" t="s">
        <v>1052</v>
      </c>
      <c r="B3" s="900"/>
      <c r="C3" s="900"/>
      <c r="D3" s="900"/>
    </row>
    <row r="4" spans="1:8" ht="15.6">
      <c r="A4" s="53" t="s">
        <v>1053</v>
      </c>
      <c r="B4" s="901" t="s">
        <v>1054</v>
      </c>
      <c r="C4" s="901"/>
      <c r="D4" s="901"/>
    </row>
    <row r="5" spans="1:8" ht="15.6">
      <c r="A5" s="53" t="s">
        <v>1554</v>
      </c>
      <c r="B5" s="901" t="s">
        <v>1555</v>
      </c>
      <c r="C5" s="901"/>
      <c r="D5" s="901"/>
    </row>
    <row r="6" spans="1:8" ht="31.2">
      <c r="A6" s="83" t="s">
        <v>1048</v>
      </c>
      <c r="B6" s="73" t="s">
        <v>1624</v>
      </c>
      <c r="C6" s="83" t="str">
        <f>IF(B5="By Cost","Cost of the Item (₹)",IF(B5="By Weight","Weight of the Item (kg)",""))</f>
        <v>Cost of the Item (₹)</v>
      </c>
      <c r="D6" s="84" t="s">
        <v>1625</v>
      </c>
    </row>
    <row r="7" spans="1:8">
      <c r="A7" s="25">
        <v>1</v>
      </c>
      <c r="B7" s="25"/>
      <c r="C7" s="25">
        <v>100</v>
      </c>
      <c r="D7" s="25" t="s">
        <v>984</v>
      </c>
    </row>
    <row r="8" spans="1:8">
      <c r="A8" s="25">
        <v>2</v>
      </c>
      <c r="B8" s="25"/>
      <c r="C8" s="25"/>
      <c r="D8" s="25"/>
    </row>
    <row r="9" spans="1:8">
      <c r="A9" s="25">
        <v>3</v>
      </c>
      <c r="B9" s="25"/>
      <c r="C9" s="25"/>
      <c r="D9" s="25"/>
      <c r="F9" s="959" t="str">
        <f>IF(B5="By Cost","Total cost of Sourced Animal Products",IF(B5="By Weight","Total weight of Sourced Animal Products",""))</f>
        <v>Total cost of Sourced Animal Products</v>
      </c>
      <c r="G9" s="959"/>
      <c r="H9" s="32">
        <f>SUM(C7:C46)</f>
        <v>100</v>
      </c>
    </row>
    <row r="10" spans="1:8">
      <c r="A10" s="25">
        <v>4</v>
      </c>
      <c r="B10" s="25"/>
      <c r="C10" s="25"/>
      <c r="D10" s="25"/>
      <c r="F10" s="897" t="str">
        <f>IF(B5="By Cost","Cost of Responsibly Sourced Animal Products",IF(B5="By Weight","Weight of Responsibly Sourced Animal Products",""))</f>
        <v>Cost of Responsibly Sourced Animal Products</v>
      </c>
      <c r="G10" s="897"/>
      <c r="H10" s="31">
        <f>SUMIF(D7:D46,"Yes",C7:C46)</f>
        <v>100</v>
      </c>
    </row>
    <row r="11" spans="1:8">
      <c r="A11" s="25">
        <v>5</v>
      </c>
      <c r="B11" s="25"/>
      <c r="C11" s="25"/>
      <c r="D11" s="25"/>
    </row>
    <row r="12" spans="1:8">
      <c r="A12" s="25">
        <v>6</v>
      </c>
      <c r="B12" s="25"/>
      <c r="C12" s="25"/>
      <c r="D12" s="25"/>
    </row>
    <row r="13" spans="1:8">
      <c r="A13" s="25">
        <v>7</v>
      </c>
      <c r="B13" s="25"/>
      <c r="C13" s="25"/>
      <c r="D13" s="25"/>
    </row>
    <row r="14" spans="1:8">
      <c r="A14" s="25">
        <v>8</v>
      </c>
      <c r="B14" s="25"/>
      <c r="C14" s="25"/>
      <c r="D14" s="25"/>
    </row>
    <row r="15" spans="1:8">
      <c r="A15" s="25">
        <v>9</v>
      </c>
      <c r="B15" s="25"/>
      <c r="C15" s="25"/>
      <c r="D15" s="25"/>
    </row>
    <row r="16" spans="1:8">
      <c r="A16" s="25">
        <v>10</v>
      </c>
      <c r="B16" s="25"/>
      <c r="C16" s="25"/>
      <c r="D16" s="25"/>
    </row>
    <row r="17" spans="1:4">
      <c r="A17" s="25">
        <v>11</v>
      </c>
      <c r="B17" s="25"/>
      <c r="C17" s="25"/>
      <c r="D17" s="25"/>
    </row>
    <row r="18" spans="1:4">
      <c r="A18" s="25">
        <v>12</v>
      </c>
      <c r="B18" s="25"/>
      <c r="C18" s="25"/>
      <c r="D18" s="25"/>
    </row>
    <row r="19" spans="1:4">
      <c r="A19" s="25">
        <v>13</v>
      </c>
      <c r="B19" s="25"/>
      <c r="C19" s="25"/>
      <c r="D19" s="25"/>
    </row>
    <row r="20" spans="1:4">
      <c r="A20" s="25">
        <v>14</v>
      </c>
      <c r="B20" s="25"/>
      <c r="C20" s="25"/>
      <c r="D20" s="25"/>
    </row>
    <row r="21" spans="1:4">
      <c r="A21" s="25">
        <v>15</v>
      </c>
      <c r="B21" s="25"/>
      <c r="C21" s="25"/>
      <c r="D21" s="25"/>
    </row>
    <row r="22" spans="1:4">
      <c r="A22" s="25">
        <v>16</v>
      </c>
      <c r="B22" s="25"/>
      <c r="C22" s="25"/>
      <c r="D22" s="25"/>
    </row>
    <row r="23" spans="1:4">
      <c r="A23" s="25">
        <v>17</v>
      </c>
      <c r="B23" s="25"/>
      <c r="C23" s="25"/>
      <c r="D23" s="25"/>
    </row>
    <row r="24" spans="1:4">
      <c r="A24" s="25">
        <v>18</v>
      </c>
      <c r="B24" s="25"/>
      <c r="C24" s="25"/>
      <c r="D24" s="25"/>
    </row>
    <row r="25" spans="1:4">
      <c r="A25" s="25">
        <v>19</v>
      </c>
      <c r="B25" s="25"/>
      <c r="C25" s="25"/>
      <c r="D25" s="25"/>
    </row>
    <row r="26" spans="1:4">
      <c r="A26" s="25">
        <v>20</v>
      </c>
      <c r="B26" s="25"/>
      <c r="C26" s="25"/>
      <c r="D26" s="25"/>
    </row>
    <row r="27" spans="1:4">
      <c r="A27" s="25">
        <v>21</v>
      </c>
      <c r="B27" s="25"/>
      <c r="C27" s="25"/>
      <c r="D27" s="25"/>
    </row>
    <row r="28" spans="1:4">
      <c r="A28" s="25">
        <v>22</v>
      </c>
      <c r="B28" s="25"/>
      <c r="C28" s="25"/>
      <c r="D28" s="25"/>
    </row>
    <row r="29" spans="1:4">
      <c r="A29" s="25">
        <v>23</v>
      </c>
      <c r="B29" s="25"/>
      <c r="C29" s="25"/>
      <c r="D29" s="25"/>
    </row>
    <row r="30" spans="1:4">
      <c r="A30" s="25">
        <v>24</v>
      </c>
      <c r="B30" s="25"/>
      <c r="C30" s="25"/>
      <c r="D30" s="25"/>
    </row>
    <row r="31" spans="1:4">
      <c r="A31" s="25">
        <v>25</v>
      </c>
      <c r="B31" s="25"/>
      <c r="C31" s="25"/>
      <c r="D31" s="25"/>
    </row>
    <row r="32" spans="1:4">
      <c r="A32" s="25">
        <v>26</v>
      </c>
      <c r="B32" s="25"/>
      <c r="C32" s="25"/>
      <c r="D32" s="25"/>
    </row>
    <row r="33" spans="1:4">
      <c r="A33" s="25">
        <v>27</v>
      </c>
      <c r="B33" s="25"/>
      <c r="C33" s="25"/>
      <c r="D33" s="25"/>
    </row>
    <row r="34" spans="1:4">
      <c r="A34" s="25">
        <v>28</v>
      </c>
      <c r="B34" s="25"/>
      <c r="C34" s="25"/>
      <c r="D34" s="25"/>
    </row>
    <row r="35" spans="1:4">
      <c r="A35" s="25">
        <v>29</v>
      </c>
      <c r="B35" s="25"/>
      <c r="C35" s="25"/>
      <c r="D35" s="25"/>
    </row>
    <row r="36" spans="1:4">
      <c r="A36" s="25">
        <v>30</v>
      </c>
      <c r="B36" s="25"/>
      <c r="C36" s="25"/>
      <c r="D36" s="25"/>
    </row>
    <row r="37" spans="1:4">
      <c r="A37" s="25">
        <v>31</v>
      </c>
      <c r="B37" s="25"/>
      <c r="C37" s="25"/>
      <c r="D37" s="25"/>
    </row>
    <row r="38" spans="1:4">
      <c r="A38" s="25">
        <v>32</v>
      </c>
      <c r="B38" s="25"/>
      <c r="C38" s="25"/>
      <c r="D38" s="25"/>
    </row>
    <row r="39" spans="1:4">
      <c r="A39" s="25">
        <v>33</v>
      </c>
      <c r="B39" s="25"/>
      <c r="C39" s="25"/>
      <c r="D39" s="25"/>
    </row>
    <row r="40" spans="1:4">
      <c r="A40" s="25">
        <v>34</v>
      </c>
      <c r="B40" s="25"/>
      <c r="C40" s="25"/>
      <c r="D40" s="25"/>
    </row>
    <row r="41" spans="1:4">
      <c r="A41" s="25">
        <v>35</v>
      </c>
      <c r="B41" s="25"/>
      <c r="C41" s="25"/>
      <c r="D41" s="25"/>
    </row>
    <row r="42" spans="1:4">
      <c r="A42" s="25">
        <v>36</v>
      </c>
      <c r="B42" s="25"/>
      <c r="C42" s="25"/>
      <c r="D42" s="25"/>
    </row>
    <row r="43" spans="1:4">
      <c r="A43" s="25">
        <v>37</v>
      </c>
      <c r="B43" s="25"/>
      <c r="C43" s="25"/>
      <c r="D43" s="25"/>
    </row>
    <row r="44" spans="1:4">
      <c r="A44" s="25">
        <v>38</v>
      </c>
      <c r="B44" s="25"/>
      <c r="C44" s="25"/>
      <c r="D44" s="25"/>
    </row>
    <row r="45" spans="1:4">
      <c r="A45" s="25">
        <v>39</v>
      </c>
      <c r="B45" s="25"/>
      <c r="C45" s="25"/>
      <c r="D45" s="25"/>
    </row>
    <row r="46" spans="1:4">
      <c r="A46" s="25">
        <v>40</v>
      </c>
      <c r="B46" s="25"/>
      <c r="C46" s="25"/>
      <c r="D46" s="25"/>
    </row>
  </sheetData>
  <mergeCells count="7">
    <mergeCell ref="F10:G10"/>
    <mergeCell ref="F9:G9"/>
    <mergeCell ref="A1:D1"/>
    <mergeCell ref="A2:D2"/>
    <mergeCell ref="B3:D3"/>
    <mergeCell ref="B4:D4"/>
    <mergeCell ref="B5:D5"/>
  </mergeCells>
  <conditionalFormatting sqref="D7:D46">
    <cfRule type="expression" dxfId="22" priority="3">
      <formula>$D7="Non-Local"</formula>
    </cfRule>
    <cfRule type="expression" dxfId="21" priority="4">
      <formula>$D7="Local"</formula>
    </cfRule>
  </conditionalFormatting>
  <dataValidations count="2">
    <dataValidation type="list" allowBlank="1" showInputMessage="1" showErrorMessage="1" sqref="B5" xr:uid="{21C7E6EF-372D-4F65-A422-D0CDB2C3FB11}">
      <formula1>"By Cost, By Weight"</formula1>
    </dataValidation>
    <dataValidation type="list" allowBlank="1" showInputMessage="1" showErrorMessage="1" sqref="B4" xr:uid="{880562DB-5B81-4D84-BFCA-E935572121C8}">
      <formula1>"Hilly, Arid, Semi-arid, Others"</formula1>
    </dataValidation>
  </dataValidation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A1:E43"/>
  <sheetViews>
    <sheetView topLeftCell="A4" workbookViewId="0">
      <selection activeCell="G8" sqref="G8"/>
    </sheetView>
  </sheetViews>
  <sheetFormatPr defaultRowHeight="13.8"/>
  <cols>
    <col min="1" max="1" width="6" style="93" customWidth="1"/>
    <col min="2" max="2" width="39" style="93" customWidth="1"/>
    <col min="3" max="4" width="26" style="93" customWidth="1"/>
    <col min="5" max="5" width="18" style="93" customWidth="1"/>
    <col min="6" max="16384" width="8.796875" style="93"/>
  </cols>
  <sheetData>
    <row r="1" spans="1:5" ht="17.399999999999999">
      <c r="A1" s="91" t="s">
        <v>134</v>
      </c>
      <c r="B1" s="92" t="s">
        <v>163</v>
      </c>
      <c r="C1" s="9">
        <f>E17</f>
        <v>0</v>
      </c>
      <c r="D1" s="92" t="s">
        <v>317</v>
      </c>
      <c r="E1" s="92">
        <f>IF('Project Info'!$C$8="New Hotel",3,3)</f>
        <v>3</v>
      </c>
    </row>
    <row r="2" spans="1:5" ht="42">
      <c r="A2" s="94"/>
      <c r="B2" s="95" t="s">
        <v>117</v>
      </c>
      <c r="C2" s="95"/>
      <c r="D2" s="95"/>
      <c r="E2" s="95" t="s">
        <v>116</v>
      </c>
    </row>
    <row r="3" spans="1:5" ht="15.6">
      <c r="A3" s="94"/>
      <c r="B3" s="96" t="s">
        <v>5</v>
      </c>
      <c r="C3" s="97"/>
      <c r="D3" s="97"/>
      <c r="E3" s="97" t="str">
        <f>HYPERLINK("#'Checklist'!A1","Go To Checklist")</f>
        <v>Go To Checklist</v>
      </c>
    </row>
    <row r="4" spans="1:5" ht="48.6" customHeight="1">
      <c r="A4" s="94"/>
      <c r="B4" s="533" t="s">
        <v>710</v>
      </c>
      <c r="C4" s="534"/>
      <c r="D4" s="534"/>
      <c r="E4" s="535"/>
    </row>
    <row r="5" spans="1:5" ht="15.6" customHeight="1">
      <c r="A5" s="94"/>
      <c r="B5" s="562" t="s">
        <v>918</v>
      </c>
      <c r="C5" s="562"/>
      <c r="D5" s="562"/>
      <c r="E5" s="98"/>
    </row>
    <row r="6" spans="1:5" ht="15.6" customHeight="1">
      <c r="A6" s="94"/>
      <c r="B6" s="529" t="s">
        <v>1258</v>
      </c>
      <c r="C6" s="529"/>
      <c r="D6" s="529"/>
      <c r="E6" s="529"/>
    </row>
    <row r="7" spans="1:5" ht="15.6" customHeight="1">
      <c r="A7" s="94"/>
      <c r="B7" s="228" t="s">
        <v>1216</v>
      </c>
      <c r="C7" s="228"/>
      <c r="D7" s="228"/>
      <c r="E7" s="229"/>
    </row>
    <row r="8" spans="1:5" ht="31.2" customHeight="1">
      <c r="A8" s="94"/>
      <c r="B8" s="828" t="s">
        <v>1217</v>
      </c>
      <c r="C8" s="828"/>
      <c r="D8" s="828"/>
      <c r="E8" s="412" t="s">
        <v>139</v>
      </c>
    </row>
    <row r="9" spans="1:5" ht="17.399999999999999" customHeight="1">
      <c r="A9" s="94"/>
      <c r="B9" s="228" t="s">
        <v>1218</v>
      </c>
      <c r="C9" s="228"/>
      <c r="D9" s="228"/>
      <c r="E9" s="229"/>
    </row>
    <row r="10" spans="1:5" ht="32.4" customHeight="1">
      <c r="A10" s="94"/>
      <c r="B10" s="828" t="s">
        <v>1219</v>
      </c>
      <c r="C10" s="828"/>
      <c r="D10" s="828"/>
      <c r="E10" s="412" t="s">
        <v>139</v>
      </c>
    </row>
    <row r="11" spans="1:5" ht="15.6">
      <c r="A11" s="94"/>
      <c r="B11" s="228" t="s">
        <v>1220</v>
      </c>
      <c r="C11" s="228"/>
      <c r="D11" s="228"/>
      <c r="E11" s="229"/>
    </row>
    <row r="12" spans="1:5" ht="29.4" customHeight="1">
      <c r="A12" s="94"/>
      <c r="B12" s="828" t="s">
        <v>1221</v>
      </c>
      <c r="C12" s="828"/>
      <c r="D12" s="828"/>
      <c r="E12" s="412" t="s">
        <v>139</v>
      </c>
    </row>
    <row r="13" spans="1:5" ht="15.6">
      <c r="A13" s="94"/>
      <c r="B13" s="228" t="s">
        <v>1222</v>
      </c>
      <c r="C13" s="228"/>
      <c r="D13" s="228"/>
      <c r="E13" s="229"/>
    </row>
    <row r="14" spans="1:5" ht="32.4" customHeight="1">
      <c r="A14" s="94"/>
      <c r="B14" s="828" t="s">
        <v>1223</v>
      </c>
      <c r="C14" s="828"/>
      <c r="D14" s="828"/>
      <c r="E14" s="412" t="s">
        <v>139</v>
      </c>
    </row>
    <row r="15" spans="1:5" ht="15.6">
      <c r="A15" s="94"/>
      <c r="B15" s="228" t="s">
        <v>1224</v>
      </c>
      <c r="C15" s="228"/>
      <c r="D15" s="228"/>
      <c r="E15" s="229"/>
    </row>
    <row r="16" spans="1:5" ht="31.2" customHeight="1">
      <c r="A16" s="94"/>
      <c r="B16" s="828" t="s">
        <v>1225</v>
      </c>
      <c r="C16" s="828"/>
      <c r="D16" s="828"/>
      <c r="E16" s="412" t="s">
        <v>139</v>
      </c>
    </row>
    <row r="17" spans="1:5" ht="27.6">
      <c r="A17" s="94"/>
      <c r="B17" s="145" t="s">
        <v>329</v>
      </c>
      <c r="C17" s="124" t="s">
        <v>1238</v>
      </c>
      <c r="D17" s="419" t="s">
        <v>6</v>
      </c>
      <c r="E17" s="14">
        <f>MIN((E8="☑")+(E10="☑")+(E12="☑")+(E14="☑")+(E16="☑"),3)</f>
        <v>0</v>
      </c>
    </row>
    <row r="18" spans="1:5">
      <c r="A18" s="94"/>
      <c r="B18" s="92"/>
      <c r="C18" s="97"/>
      <c r="D18" s="136"/>
      <c r="E18" s="124"/>
    </row>
    <row r="19" spans="1:5" ht="17.399999999999999" customHeight="1">
      <c r="A19" s="94"/>
      <c r="B19" s="539" t="s">
        <v>117</v>
      </c>
      <c r="C19" s="539"/>
      <c r="D19" s="275" t="s">
        <v>189</v>
      </c>
      <c r="E19" s="8">
        <f>C1</f>
        <v>0</v>
      </c>
    </row>
    <row r="20" spans="1:5" ht="17.399999999999999" customHeight="1">
      <c r="A20" s="94"/>
      <c r="B20" s="97"/>
      <c r="C20" s="97"/>
      <c r="D20" s="97"/>
      <c r="E20" s="97"/>
    </row>
    <row r="21" spans="1:5" ht="17.399999999999999" customHeight="1">
      <c r="A21" s="94"/>
      <c r="B21" s="537" t="s">
        <v>146</v>
      </c>
      <c r="C21" s="537"/>
      <c r="D21" s="537"/>
      <c r="E21" s="537"/>
    </row>
    <row r="22" spans="1:5" ht="17.399999999999999" customHeight="1">
      <c r="A22" s="94"/>
      <c r="B22" s="748" t="s">
        <v>1216</v>
      </c>
      <c r="C22" s="748"/>
      <c r="D22" s="748"/>
      <c r="E22" s="101"/>
    </row>
    <row r="23" spans="1:5" ht="17.399999999999999" customHeight="1">
      <c r="A23" s="94"/>
      <c r="B23" s="538" t="s">
        <v>1226</v>
      </c>
      <c r="C23" s="538"/>
      <c r="D23" s="538"/>
      <c r="E23" s="101" t="s">
        <v>139</v>
      </c>
    </row>
    <row r="24" spans="1:5" ht="17.399999999999999" customHeight="1">
      <c r="A24" s="94"/>
      <c r="B24" s="538" t="s">
        <v>1227</v>
      </c>
      <c r="C24" s="538"/>
      <c r="D24" s="538"/>
      <c r="E24" s="101" t="s">
        <v>139</v>
      </c>
    </row>
    <row r="25" spans="1:5" ht="17.399999999999999">
      <c r="A25" s="94"/>
      <c r="B25" s="92" t="s">
        <v>1218</v>
      </c>
      <c r="C25" s="97"/>
      <c r="D25" s="97"/>
      <c r="E25" s="101"/>
    </row>
    <row r="26" spans="1:5" ht="17.399999999999999" customHeight="1">
      <c r="A26" s="94"/>
      <c r="B26" s="538" t="s">
        <v>1228</v>
      </c>
      <c r="C26" s="538"/>
      <c r="D26" s="538"/>
      <c r="E26" s="101" t="s">
        <v>139</v>
      </c>
    </row>
    <row r="27" spans="1:5" ht="17.399999999999999" customHeight="1">
      <c r="A27" s="94"/>
      <c r="B27" s="538" t="s">
        <v>1229</v>
      </c>
      <c r="C27" s="538"/>
      <c r="D27" s="538"/>
      <c r="E27" s="101" t="s">
        <v>139</v>
      </c>
    </row>
    <row r="28" spans="1:5" ht="17.399999999999999">
      <c r="A28" s="94"/>
      <c r="B28" s="538" t="s">
        <v>1230</v>
      </c>
      <c r="C28" s="538"/>
      <c r="D28" s="538"/>
      <c r="E28" s="101" t="s">
        <v>139</v>
      </c>
    </row>
    <row r="29" spans="1:5" ht="17.399999999999999">
      <c r="A29" s="94"/>
      <c r="B29" s="92" t="s">
        <v>1220</v>
      </c>
      <c r="C29" s="97"/>
      <c r="D29" s="97"/>
      <c r="E29" s="101"/>
    </row>
    <row r="30" spans="1:5" ht="17.399999999999999" customHeight="1">
      <c r="A30" s="94"/>
      <c r="B30" s="538" t="s">
        <v>1231</v>
      </c>
      <c r="C30" s="538"/>
      <c r="D30" s="538"/>
      <c r="E30" s="101" t="s">
        <v>139</v>
      </c>
    </row>
    <row r="31" spans="1:5" ht="17.399999999999999">
      <c r="A31" s="94"/>
      <c r="B31" s="538" t="s">
        <v>1232</v>
      </c>
      <c r="C31" s="538"/>
      <c r="D31" s="538"/>
      <c r="E31" s="101" t="s">
        <v>139</v>
      </c>
    </row>
    <row r="32" spans="1:5" ht="17.399999999999999">
      <c r="A32" s="94"/>
      <c r="B32" s="92" t="s">
        <v>1222</v>
      </c>
      <c r="C32" s="97"/>
      <c r="D32" s="97"/>
      <c r="E32" s="101"/>
    </row>
    <row r="33" spans="1:5" ht="17.399999999999999">
      <c r="A33" s="94"/>
      <c r="B33" s="538" t="s">
        <v>1233</v>
      </c>
      <c r="C33" s="538"/>
      <c r="D33" s="538"/>
      <c r="E33" s="101" t="s">
        <v>139</v>
      </c>
    </row>
    <row r="34" spans="1:5" ht="17.399999999999999">
      <c r="A34" s="94"/>
      <c r="B34" s="538" t="s">
        <v>1234</v>
      </c>
      <c r="C34" s="538"/>
      <c r="D34" s="538"/>
      <c r="E34" s="101" t="s">
        <v>139</v>
      </c>
    </row>
    <row r="35" spans="1:5" ht="17.399999999999999">
      <c r="A35" s="94"/>
      <c r="B35" s="92" t="s">
        <v>1235</v>
      </c>
      <c r="C35" s="97"/>
      <c r="D35" s="97"/>
      <c r="E35" s="101"/>
    </row>
    <row r="36" spans="1:5" ht="17.399999999999999">
      <c r="A36" s="94"/>
      <c r="B36" s="538" t="s">
        <v>1236</v>
      </c>
      <c r="C36" s="538"/>
      <c r="D36" s="538"/>
      <c r="E36" s="101" t="s">
        <v>139</v>
      </c>
    </row>
    <row r="37" spans="1:5" ht="17.399999999999999">
      <c r="A37" s="94"/>
      <c r="B37" s="560" t="s">
        <v>1237</v>
      </c>
      <c r="C37" s="560"/>
      <c r="D37" s="560"/>
      <c r="E37" s="101" t="s">
        <v>139</v>
      </c>
    </row>
    <row r="38" spans="1:5">
      <c r="B38" s="531" t="s">
        <v>147</v>
      </c>
      <c r="C38" s="531"/>
      <c r="D38" s="531"/>
      <c r="E38" s="531"/>
    </row>
    <row r="39" spans="1:5">
      <c r="B39" s="97"/>
      <c r="C39" s="97"/>
      <c r="D39" s="97"/>
      <c r="E39" s="97"/>
    </row>
    <row r="40" spans="1:5">
      <c r="B40" s="97"/>
      <c r="C40" s="97"/>
      <c r="D40" s="97"/>
      <c r="E40" s="97"/>
    </row>
    <row r="41" spans="1:5">
      <c r="B41" s="97"/>
      <c r="C41" s="97"/>
      <c r="D41" s="97"/>
      <c r="E41" s="97"/>
    </row>
    <row r="42" spans="1:5">
      <c r="B42" s="97"/>
      <c r="C42" s="97"/>
      <c r="D42" s="97"/>
      <c r="E42" s="97"/>
    </row>
    <row r="43" spans="1:5">
      <c r="B43" s="97"/>
      <c r="C43" s="97"/>
      <c r="D43" s="97"/>
      <c r="E43" s="97"/>
    </row>
  </sheetData>
  <sheetProtection sheet="1" objects="1" scenarios="1"/>
  <mergeCells count="23">
    <mergeCell ref="B38:E38"/>
    <mergeCell ref="B30:D30"/>
    <mergeCell ref="B31:D31"/>
    <mergeCell ref="B33:D33"/>
    <mergeCell ref="B34:D34"/>
    <mergeCell ref="B36:D36"/>
    <mergeCell ref="B37:D37"/>
    <mergeCell ref="B23:D23"/>
    <mergeCell ref="B24:D24"/>
    <mergeCell ref="B26:D26"/>
    <mergeCell ref="B27:D27"/>
    <mergeCell ref="B28:D28"/>
    <mergeCell ref="B4:E4"/>
    <mergeCell ref="B21:E21"/>
    <mergeCell ref="B22:D22"/>
    <mergeCell ref="B19:C19"/>
    <mergeCell ref="B5:D5"/>
    <mergeCell ref="B8:D8"/>
    <mergeCell ref="B10:D10"/>
    <mergeCell ref="B12:D12"/>
    <mergeCell ref="B14:D14"/>
    <mergeCell ref="B16:D16"/>
    <mergeCell ref="B6:E6"/>
  </mergeCells>
  <conditionalFormatting sqref="E17:E18">
    <cfRule type="containsText" dxfId="20" priority="11" operator="containsText" text="Not Compliant">
      <formula>NOT(ISERROR(SEARCH("Not Compliant",E17)))</formula>
    </cfRule>
    <cfRule type="containsText" dxfId="19" priority="12" operator="containsText" text="Compliant">
      <formula>NOT(ISERROR(SEARCH("Compliant",E17)))</formula>
    </cfRule>
  </conditionalFormatting>
  <dataValidations count="2">
    <dataValidation type="decimal" sqref="C1" xr:uid="{00000000-0002-0000-3700-000000000000}">
      <formula1>0</formula1>
      <formula2>3</formula2>
    </dataValidation>
    <dataValidation type="list" sqref="A1 E22:E37 E14 E16 E8 E10 E12" xr:uid="{00000000-0002-0000-3700-000001000000}">
      <formula1>"☐,☑"</formula1>
    </dataValidation>
  </dataValidations>
  <pageMargins left="0.7" right="0.7" top="0.75" bottom="0.75" header="0.3" footer="0.3"/>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A1:J42"/>
  <sheetViews>
    <sheetView topLeftCell="A7" workbookViewId="0">
      <selection activeCell="A4" sqref="A4"/>
    </sheetView>
  </sheetViews>
  <sheetFormatPr defaultRowHeight="13.8"/>
  <cols>
    <col min="1" max="1" width="12.796875" customWidth="1"/>
    <col min="2" max="2" width="41.3984375" customWidth="1"/>
    <col min="3" max="3" width="28" customWidth="1"/>
    <col min="4" max="4" width="25.59765625" customWidth="1"/>
    <col min="5" max="5" width="20.796875" customWidth="1"/>
    <col min="7" max="7" width="27.3984375" customWidth="1"/>
    <col min="8" max="8" width="24.69921875" customWidth="1"/>
    <col min="9" max="9" width="21.8984375" customWidth="1"/>
    <col min="10" max="10" width="20.69921875" customWidth="1"/>
  </cols>
  <sheetData>
    <row r="1" spans="1:10" ht="17.399999999999999">
      <c r="A1" s="6" t="s">
        <v>134</v>
      </c>
      <c r="B1" s="908" t="s">
        <v>163</v>
      </c>
      <c r="C1" s="908"/>
      <c r="D1" s="960">
        <f>MAX(E22,J28)</f>
        <v>0</v>
      </c>
      <c r="E1" s="960"/>
      <c r="F1" s="960"/>
      <c r="G1" s="909" t="s">
        <v>1549</v>
      </c>
      <c r="H1" s="909"/>
      <c r="I1" s="909">
        <v>1</v>
      </c>
      <c r="J1" s="909"/>
    </row>
    <row r="2" spans="1:10" ht="42">
      <c r="A2" s="2"/>
      <c r="B2" s="5" t="s">
        <v>120</v>
      </c>
      <c r="C2" s="5"/>
      <c r="D2" s="5"/>
      <c r="E2" s="963"/>
      <c r="F2" s="963"/>
      <c r="G2" s="963"/>
      <c r="H2" s="5"/>
      <c r="I2" s="5"/>
      <c r="J2" s="5" t="s">
        <v>119</v>
      </c>
    </row>
    <row r="3" spans="1:10" ht="15.6">
      <c r="A3" s="2"/>
      <c r="B3" s="16" t="s">
        <v>5</v>
      </c>
      <c r="C3" s="3"/>
      <c r="D3" s="3"/>
      <c r="E3" s="3"/>
      <c r="G3" s="16"/>
      <c r="H3" s="3"/>
      <c r="I3" s="3"/>
      <c r="J3" s="3" t="str">
        <f>HYPERLINK("#'Checklist'!A1","Go To Checklist")</f>
        <v>Go To Checklist</v>
      </c>
    </row>
    <row r="4" spans="1:10" ht="46.2" customHeight="1">
      <c r="A4" s="2"/>
      <c r="B4" s="882" t="s">
        <v>710</v>
      </c>
      <c r="C4" s="883"/>
      <c r="D4" s="883"/>
      <c r="E4" s="884"/>
      <c r="G4" s="882" t="s">
        <v>710</v>
      </c>
      <c r="H4" s="883"/>
      <c r="I4" s="883"/>
      <c r="J4" s="884"/>
    </row>
    <row r="5" spans="1:10" ht="15.6">
      <c r="A5" s="2"/>
      <c r="B5" s="962" t="s">
        <v>918</v>
      </c>
      <c r="C5" s="962"/>
      <c r="D5" s="962"/>
      <c r="E5" s="40"/>
      <c r="G5" s="962" t="s">
        <v>918</v>
      </c>
      <c r="H5" s="962"/>
      <c r="I5" s="962"/>
      <c r="J5" s="40"/>
    </row>
    <row r="6" spans="1:10" ht="15.6" customHeight="1">
      <c r="A6" s="2"/>
      <c r="B6" s="964" t="s">
        <v>1239</v>
      </c>
      <c r="C6" s="964"/>
      <c r="D6" s="964"/>
      <c r="E6" s="37" t="s">
        <v>134</v>
      </c>
      <c r="F6" s="961" t="s">
        <v>816</v>
      </c>
      <c r="G6" s="964" t="s">
        <v>1242</v>
      </c>
      <c r="H6" s="964"/>
      <c r="I6" s="964"/>
      <c r="J6" s="37" t="s">
        <v>134</v>
      </c>
    </row>
    <row r="7" spans="1:10" ht="31.8" customHeight="1">
      <c r="A7" s="2"/>
      <c r="B7" s="891" t="s">
        <v>1240</v>
      </c>
      <c r="C7" s="891"/>
      <c r="D7" s="891"/>
      <c r="E7" s="891"/>
      <c r="F7" s="961"/>
      <c r="G7" s="891" t="s">
        <v>1243</v>
      </c>
      <c r="H7" s="891"/>
      <c r="I7" s="891"/>
      <c r="J7" s="891"/>
    </row>
    <row r="8" spans="1:10" ht="30" customHeight="1">
      <c r="A8" s="2"/>
      <c r="B8" s="477" t="s">
        <v>1628</v>
      </c>
      <c r="C8" s="965" t="s">
        <v>1629</v>
      </c>
      <c r="D8" s="965"/>
      <c r="E8" s="478" t="s">
        <v>1383</v>
      </c>
      <c r="F8" s="961"/>
      <c r="G8" s="925" t="s">
        <v>1631</v>
      </c>
      <c r="H8" s="925"/>
      <c r="I8" s="44"/>
      <c r="J8" s="44"/>
    </row>
    <row r="9" spans="1:10" ht="16.8" customHeight="1">
      <c r="A9" s="2"/>
      <c r="B9" s="479"/>
      <c r="C9" s="968" t="s">
        <v>1241</v>
      </c>
      <c r="D9" s="968"/>
      <c r="E9" s="312" t="s">
        <v>139</v>
      </c>
      <c r="G9" s="459" t="s">
        <v>1460</v>
      </c>
      <c r="H9" s="459" t="s">
        <v>1409</v>
      </c>
      <c r="I9" s="988" t="s">
        <v>1632</v>
      </c>
      <c r="J9" s="988"/>
    </row>
    <row r="10" spans="1:10" ht="16.8" customHeight="1">
      <c r="A10" s="2"/>
      <c r="B10" s="479"/>
      <c r="C10" s="968"/>
      <c r="D10" s="968"/>
      <c r="E10" s="312" t="s">
        <v>139</v>
      </c>
      <c r="G10" s="393" t="s">
        <v>1032</v>
      </c>
      <c r="H10" s="376"/>
      <c r="I10" s="870"/>
      <c r="J10" s="870"/>
    </row>
    <row r="11" spans="1:10" ht="16.8" customHeight="1">
      <c r="A11" s="2"/>
      <c r="B11" s="479"/>
      <c r="C11" s="968"/>
      <c r="D11" s="968"/>
      <c r="E11" s="312" t="s">
        <v>139</v>
      </c>
      <c r="G11" s="393" t="s">
        <v>1033</v>
      </c>
      <c r="H11" s="376"/>
      <c r="I11" s="870"/>
      <c r="J11" s="870"/>
    </row>
    <row r="12" spans="1:10" ht="16.8" customHeight="1">
      <c r="A12" s="2"/>
      <c r="B12" s="479"/>
      <c r="C12" s="968"/>
      <c r="D12" s="968"/>
      <c r="E12" s="312" t="s">
        <v>139</v>
      </c>
      <c r="G12" s="393" t="s">
        <v>1034</v>
      </c>
      <c r="H12" s="376"/>
      <c r="I12" s="870"/>
      <c r="J12" s="870"/>
    </row>
    <row r="13" spans="1:10" ht="16.8" customHeight="1">
      <c r="A13" s="2"/>
      <c r="B13" s="479"/>
      <c r="C13" s="968"/>
      <c r="D13" s="968"/>
      <c r="E13" s="312" t="s">
        <v>139</v>
      </c>
      <c r="G13" s="393" t="s">
        <v>1035</v>
      </c>
      <c r="H13" s="376"/>
      <c r="I13" s="870"/>
      <c r="J13" s="870"/>
    </row>
    <row r="14" spans="1:10" ht="16.8" customHeight="1">
      <c r="A14" s="2"/>
      <c r="B14" s="479"/>
      <c r="C14" s="968"/>
      <c r="D14" s="968"/>
      <c r="E14" s="312" t="s">
        <v>139</v>
      </c>
      <c r="G14" s="393" t="s">
        <v>1036</v>
      </c>
      <c r="H14" s="376"/>
      <c r="I14" s="870"/>
      <c r="J14" s="870"/>
    </row>
    <row r="15" spans="1:10" ht="16.8" customHeight="1">
      <c r="A15" s="2"/>
      <c r="B15" s="479"/>
      <c r="C15" s="968"/>
      <c r="D15" s="968"/>
      <c r="E15" s="312" t="s">
        <v>139</v>
      </c>
      <c r="G15" s="393" t="s">
        <v>1037</v>
      </c>
      <c r="H15" s="376"/>
      <c r="I15" s="870"/>
      <c r="J15" s="870"/>
    </row>
    <row r="16" spans="1:10" ht="16.8" customHeight="1">
      <c r="A16" s="2"/>
      <c r="B16" s="479"/>
      <c r="C16" s="968"/>
      <c r="D16" s="968"/>
      <c r="E16" s="312" t="s">
        <v>139</v>
      </c>
      <c r="G16" s="393" t="s">
        <v>1038</v>
      </c>
      <c r="H16" s="376"/>
      <c r="I16" s="870"/>
      <c r="J16" s="870"/>
    </row>
    <row r="17" spans="1:10" ht="16.8" customHeight="1">
      <c r="A17" s="2"/>
      <c r="B17" s="479"/>
      <c r="C17" s="968"/>
      <c r="D17" s="968"/>
      <c r="E17" s="312" t="s">
        <v>139</v>
      </c>
      <c r="G17" s="393" t="s">
        <v>1039</v>
      </c>
      <c r="H17" s="376"/>
      <c r="I17" s="870"/>
      <c r="J17" s="870"/>
    </row>
    <row r="18" spans="1:10" ht="16.8" customHeight="1">
      <c r="A18" s="2"/>
      <c r="B18" s="479"/>
      <c r="C18" s="968"/>
      <c r="D18" s="968"/>
      <c r="E18" s="312" t="s">
        <v>139</v>
      </c>
      <c r="G18" s="393" t="s">
        <v>1040</v>
      </c>
      <c r="H18" s="376"/>
      <c r="I18" s="870"/>
      <c r="J18" s="870"/>
    </row>
    <row r="19" spans="1:10" ht="16.8" customHeight="1">
      <c r="A19" s="2"/>
      <c r="B19" s="479"/>
      <c r="C19" s="968"/>
      <c r="D19" s="968"/>
      <c r="E19" s="312" t="s">
        <v>139</v>
      </c>
      <c r="G19" s="393" t="s">
        <v>1041</v>
      </c>
      <c r="H19" s="376"/>
      <c r="I19" s="870"/>
      <c r="J19" s="870"/>
    </row>
    <row r="20" spans="1:10" ht="18.600000000000001" customHeight="1">
      <c r="A20" s="2"/>
      <c r="B20" s="479"/>
      <c r="C20" s="968"/>
      <c r="D20" s="968"/>
      <c r="E20" s="312" t="s">
        <v>139</v>
      </c>
      <c r="G20" s="393" t="s">
        <v>1042</v>
      </c>
      <c r="H20" s="376"/>
      <c r="I20" s="870"/>
      <c r="J20" s="870"/>
    </row>
    <row r="21" spans="1:10" ht="15.6" customHeight="1">
      <c r="A21" s="2"/>
      <c r="B21" s="479"/>
      <c r="C21" s="968"/>
      <c r="D21" s="968"/>
      <c r="E21" s="312" t="s">
        <v>139</v>
      </c>
      <c r="G21" s="393" t="s">
        <v>1043</v>
      </c>
      <c r="H21" s="376"/>
      <c r="I21" s="870"/>
      <c r="J21" s="870"/>
    </row>
    <row r="22" spans="1:10" ht="19.95" customHeight="1">
      <c r="A22" s="2"/>
      <c r="B22" s="33" t="s">
        <v>329</v>
      </c>
      <c r="C22" s="14" t="s">
        <v>1630</v>
      </c>
      <c r="D22" s="45" t="s">
        <v>6</v>
      </c>
      <c r="E22" s="14">
        <f>IF(COUNTIF(E9:E21,"☑")&gt;=3,1,0)</f>
        <v>0</v>
      </c>
      <c r="G22" s="826" t="s">
        <v>1538</v>
      </c>
      <c r="H22" s="826"/>
      <c r="I22" s="826">
        <f>SUM(I10:I21)</f>
        <v>0</v>
      </c>
      <c r="J22" s="826"/>
    </row>
    <row r="23" spans="1:10" ht="19.95" customHeight="1">
      <c r="A23" s="2"/>
      <c r="B23" s="969"/>
      <c r="C23" s="969"/>
      <c r="D23" s="969"/>
      <c r="E23" s="969"/>
    </row>
    <row r="24" spans="1:10" ht="19.95" customHeight="1">
      <c r="A24" s="2"/>
      <c r="B24" s="908"/>
      <c r="C24" s="908"/>
      <c r="D24" s="908"/>
      <c r="E24" s="908"/>
      <c r="G24" s="41" t="s">
        <v>940</v>
      </c>
      <c r="H24" s="44" t="s">
        <v>622</v>
      </c>
      <c r="I24" s="44"/>
      <c r="J24" s="44" t="s">
        <v>1114</v>
      </c>
    </row>
    <row r="25" spans="1:10" ht="19.95" customHeight="1">
      <c r="A25" s="2"/>
      <c r="B25" s="908"/>
      <c r="C25" s="908"/>
      <c r="D25" s="908"/>
      <c r="E25" s="908"/>
      <c r="G25" s="404" t="s">
        <v>429</v>
      </c>
      <c r="H25" s="404" t="s">
        <v>278</v>
      </c>
      <c r="I25" s="404"/>
      <c r="J25" s="985">
        <f>I22</f>
        <v>0</v>
      </c>
    </row>
    <row r="26" spans="1:10" ht="19.95" customHeight="1">
      <c r="A26" s="2"/>
      <c r="B26" s="908"/>
      <c r="C26" s="908"/>
      <c r="D26" s="908"/>
      <c r="E26" s="908"/>
      <c r="G26" s="404" t="s">
        <v>430</v>
      </c>
      <c r="H26" s="404" t="s">
        <v>431</v>
      </c>
      <c r="I26" s="404"/>
      <c r="J26" s="986">
        <f>'EE MR 2'!M26</f>
        <v>0</v>
      </c>
    </row>
    <row r="27" spans="1:10" ht="19.95" customHeight="1">
      <c r="A27" s="2"/>
      <c r="B27" s="908"/>
      <c r="C27" s="908"/>
      <c r="D27" s="908"/>
      <c r="E27" s="908"/>
      <c r="G27" s="404" t="s">
        <v>432</v>
      </c>
      <c r="H27" s="404" t="s">
        <v>433</v>
      </c>
      <c r="I27" s="404"/>
      <c r="J27" s="987">
        <f>IFERROR(J25/J26,0)</f>
        <v>0</v>
      </c>
    </row>
    <row r="28" spans="1:10" ht="19.95" customHeight="1">
      <c r="A28" s="2"/>
      <c r="B28" s="908"/>
      <c r="C28" s="908"/>
      <c r="D28" s="908"/>
      <c r="E28" s="908"/>
      <c r="G28" s="33" t="s">
        <v>329</v>
      </c>
      <c r="H28" s="3" t="s">
        <v>1244</v>
      </c>
      <c r="I28" s="45" t="s">
        <v>6</v>
      </c>
      <c r="J28" s="3">
        <f>IF(AND(J27&gt;0,J27&lt;=1),1,0)</f>
        <v>0</v>
      </c>
    </row>
    <row r="29" spans="1:10" ht="19.95" customHeight="1">
      <c r="A29" s="2"/>
      <c r="B29" s="908"/>
      <c r="C29" s="908"/>
      <c r="D29" s="908"/>
      <c r="E29" s="908"/>
    </row>
    <row r="30" spans="1:10" ht="19.95" customHeight="1">
      <c r="A30" s="2"/>
      <c r="B30" s="908"/>
      <c r="C30" s="908"/>
      <c r="D30" s="908"/>
      <c r="E30" s="908"/>
      <c r="F30" s="480"/>
      <c r="G30" s="480"/>
      <c r="H30" s="480"/>
      <c r="I30" s="967"/>
      <c r="J30" s="967"/>
    </row>
    <row r="31" spans="1:10" ht="17.399999999999999" customHeight="1">
      <c r="A31" s="2"/>
      <c r="B31" s="908"/>
      <c r="C31" s="908"/>
      <c r="D31" s="908"/>
      <c r="E31" s="908"/>
    </row>
    <row r="32" spans="1:10" ht="17.399999999999999" customHeight="1">
      <c r="A32" s="2"/>
      <c r="B32" s="970"/>
      <c r="C32" s="970"/>
      <c r="D32" s="480"/>
      <c r="E32" s="480"/>
      <c r="G32" s="942" t="s">
        <v>146</v>
      </c>
      <c r="H32" s="942"/>
      <c r="I32" s="942"/>
      <c r="J32" s="942"/>
    </row>
    <row r="33" spans="1:10" ht="17.399999999999999" customHeight="1">
      <c r="A33" s="2"/>
      <c r="G33" s="20" t="s">
        <v>1242</v>
      </c>
      <c r="H33" s="19"/>
      <c r="I33" s="19"/>
      <c r="J33" s="7"/>
    </row>
    <row r="34" spans="1:10" ht="17.399999999999999">
      <c r="A34" s="64"/>
      <c r="B34" s="942" t="s">
        <v>146</v>
      </c>
      <c r="C34" s="942"/>
      <c r="D34" s="942"/>
      <c r="E34" s="942"/>
      <c r="F34" s="65"/>
      <c r="G34" s="880" t="s">
        <v>1249</v>
      </c>
      <c r="H34" s="880"/>
      <c r="I34" s="880"/>
      <c r="J34" s="7" t="s">
        <v>139</v>
      </c>
    </row>
    <row r="35" spans="1:10" ht="17.399999999999999" customHeight="1">
      <c r="A35" s="64"/>
      <c r="B35" s="971" t="s">
        <v>1245</v>
      </c>
      <c r="C35" s="971"/>
      <c r="D35" s="971"/>
      <c r="E35" s="7"/>
      <c r="F35" s="65"/>
      <c r="G35" s="877" t="s">
        <v>147</v>
      </c>
      <c r="H35" s="877"/>
      <c r="I35" s="877"/>
      <c r="J35" s="877"/>
    </row>
    <row r="36" spans="1:10" ht="17.399999999999999">
      <c r="A36" s="64"/>
      <c r="B36" s="881" t="s">
        <v>1246</v>
      </c>
      <c r="C36" s="881"/>
      <c r="D36" s="881"/>
      <c r="E36" s="7" t="s">
        <v>139</v>
      </c>
      <c r="F36" s="65"/>
    </row>
    <row r="37" spans="1:10" ht="17.399999999999999">
      <c r="A37" s="64"/>
      <c r="B37" s="881" t="s">
        <v>1247</v>
      </c>
      <c r="C37" s="881"/>
      <c r="D37" s="881"/>
      <c r="E37" s="7" t="s">
        <v>139</v>
      </c>
      <c r="F37" s="65"/>
    </row>
    <row r="38" spans="1:10" ht="17.399999999999999">
      <c r="A38" s="64"/>
      <c r="B38" s="880" t="s">
        <v>1248</v>
      </c>
      <c r="C38" s="880"/>
      <c r="D38" s="880"/>
      <c r="E38" s="7" t="s">
        <v>139</v>
      </c>
      <c r="F38" s="65"/>
    </row>
    <row r="39" spans="1:10" ht="14.4">
      <c r="A39" s="64"/>
      <c r="B39" s="877" t="s">
        <v>147</v>
      </c>
      <c r="C39" s="877"/>
      <c r="D39" s="877"/>
      <c r="E39" s="877"/>
    </row>
    <row r="40" spans="1:10" ht="17.399999999999999">
      <c r="A40" s="64"/>
      <c r="B40" s="880"/>
      <c r="C40" s="880"/>
      <c r="D40" s="880"/>
      <c r="E40" s="7"/>
    </row>
    <row r="41" spans="1:10">
      <c r="B41" s="877"/>
      <c r="C41" s="877"/>
      <c r="D41" s="877"/>
      <c r="E41" s="877"/>
    </row>
    <row r="42" spans="1:10">
      <c r="B42" s="3"/>
      <c r="C42" s="3"/>
      <c r="D42" s="3"/>
      <c r="E42" s="3"/>
    </row>
  </sheetData>
  <mergeCells count="59">
    <mergeCell ref="B39:E39"/>
    <mergeCell ref="B38:D38"/>
    <mergeCell ref="B41:E41"/>
    <mergeCell ref="B40:D40"/>
    <mergeCell ref="B35:D35"/>
    <mergeCell ref="B36:D36"/>
    <mergeCell ref="B37:D37"/>
    <mergeCell ref="B34:E34"/>
    <mergeCell ref="B32:C32"/>
    <mergeCell ref="C9:D9"/>
    <mergeCell ref="C10:D10"/>
    <mergeCell ref="C11:D11"/>
    <mergeCell ref="C12:D12"/>
    <mergeCell ref="C13:D13"/>
    <mergeCell ref="I22:J22"/>
    <mergeCell ref="I30:J30"/>
    <mergeCell ref="I21:J21"/>
    <mergeCell ref="C14:D14"/>
    <mergeCell ref="C15:D15"/>
    <mergeCell ref="C16:D16"/>
    <mergeCell ref="C17:D17"/>
    <mergeCell ref="C18:D18"/>
    <mergeCell ref="C19:D19"/>
    <mergeCell ref="B23:E23"/>
    <mergeCell ref="B24:E31"/>
    <mergeCell ref="C21:D21"/>
    <mergeCell ref="C20:D20"/>
    <mergeCell ref="G32:J32"/>
    <mergeCell ref="G34:I34"/>
    <mergeCell ref="G35:J35"/>
    <mergeCell ref="I9:J9"/>
    <mergeCell ref="I10:J10"/>
    <mergeCell ref="I11:J11"/>
    <mergeCell ref="I12:J12"/>
    <mergeCell ref="I13:J13"/>
    <mergeCell ref="I14:J14"/>
    <mergeCell ref="I15:J15"/>
    <mergeCell ref="I16:J16"/>
    <mergeCell ref="I17:J17"/>
    <mergeCell ref="I18:J18"/>
    <mergeCell ref="I19:J19"/>
    <mergeCell ref="I20:J20"/>
    <mergeCell ref="G22:H22"/>
    <mergeCell ref="B1:C1"/>
    <mergeCell ref="I1:J1"/>
    <mergeCell ref="D1:F1"/>
    <mergeCell ref="G1:H1"/>
    <mergeCell ref="F6:F8"/>
    <mergeCell ref="G4:J4"/>
    <mergeCell ref="G5:I5"/>
    <mergeCell ref="E2:G2"/>
    <mergeCell ref="G6:I6"/>
    <mergeCell ref="G7:J7"/>
    <mergeCell ref="G8:H8"/>
    <mergeCell ref="B4:E4"/>
    <mergeCell ref="B5:D5"/>
    <mergeCell ref="B7:E7"/>
    <mergeCell ref="C8:D8"/>
    <mergeCell ref="B6:D6"/>
  </mergeCells>
  <conditionalFormatting sqref="E23">
    <cfRule type="containsText" dxfId="18" priority="3" operator="containsText" text="Not Compliant">
      <formula>NOT(ISERROR(SEARCH("Not Compliant",E23)))</formula>
    </cfRule>
    <cfRule type="containsText" dxfId="17" priority="4" operator="containsText" text="Compliant">
      <formula>NOT(ISERROR(SEARCH("Compliant",E23)))</formula>
    </cfRule>
  </conditionalFormatting>
  <conditionalFormatting sqref="E22">
    <cfRule type="containsText" dxfId="16" priority="1" operator="containsText" text="Not Compliant">
      <formula>NOT(ISERROR(SEARCH("Not Compliant",E22)))</formula>
    </cfRule>
    <cfRule type="containsText" dxfId="15" priority="2" operator="containsText" text="Compliant">
      <formula>NOT(ISERROR(SEARCH("Compliant",E22)))</formula>
    </cfRule>
  </conditionalFormatting>
  <dataValidations count="2">
    <dataValidation type="list" sqref="A1 J33:J34 J6 E6 E35:E38 E40 E9:E21" xr:uid="{00000000-0002-0000-3800-000001000000}">
      <formula1>"☐,☑"</formula1>
    </dataValidation>
    <dataValidation type="list" allowBlank="1" showInputMessage="1" showErrorMessage="1" sqref="D9:D14 C9:C21" xr:uid="{2E0F19FE-10EC-46EC-A6B0-CBAEB7B8BC7F}">
      <formula1>"Carpet cleaning, Floor cleaning, Glass cleaning, General-purpose cleaning, Restroom cleaning, Laundry detergent, Dishwashing detergent"</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2641" r:id="rId3" name="Button 1">
              <controlPr defaultSize="0" print="0" autoFill="0" autoPict="0" macro="[0]!Add_Housekeeping_Row">
                <anchor moveWithCells="1" sizeWithCells="1">
                  <from>
                    <xdr:col>0</xdr:col>
                    <xdr:colOff>30480</xdr:colOff>
                    <xdr:row>19</xdr:row>
                    <xdr:rowOff>137160</xdr:rowOff>
                  </from>
                  <to>
                    <xdr:col>0</xdr:col>
                    <xdr:colOff>937260</xdr:colOff>
                    <xdr:row>20</xdr:row>
                    <xdr:rowOff>144780</xdr:rowOff>
                  </to>
                </anchor>
              </controlPr>
            </control>
          </mc:Choice>
        </mc:AlternateContent>
      </controls>
    </mc:Choice>
  </mc:AlternateConten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dimension ref="A1:E22"/>
  <sheetViews>
    <sheetView workbookViewId="0">
      <selection activeCell="G11" sqref="G11"/>
    </sheetView>
  </sheetViews>
  <sheetFormatPr defaultRowHeight="13.8"/>
  <cols>
    <col min="1" max="1" width="6" style="93" customWidth="1"/>
    <col min="2" max="2" width="39" style="93" customWidth="1"/>
    <col min="3" max="3" width="26" style="93" customWidth="1"/>
    <col min="4" max="4" width="30" style="93" customWidth="1"/>
    <col min="5" max="5" width="18" style="93" customWidth="1"/>
    <col min="6" max="16384" width="8.796875" style="93"/>
  </cols>
  <sheetData>
    <row r="1" spans="1:5" ht="17.399999999999999">
      <c r="A1" s="91" t="s">
        <v>134</v>
      </c>
      <c r="B1" s="92" t="s">
        <v>163</v>
      </c>
      <c r="C1" s="9">
        <f>E9</f>
        <v>1</v>
      </c>
      <c r="D1" s="92" t="s">
        <v>317</v>
      </c>
      <c r="E1" s="92">
        <f>IF('Project Info'!$C$8="New Hotel",1,1)</f>
        <v>1</v>
      </c>
    </row>
    <row r="2" spans="1:5" ht="21">
      <c r="A2" s="94"/>
      <c r="B2" s="95" t="s">
        <v>122</v>
      </c>
      <c r="C2" s="95"/>
      <c r="D2" s="95"/>
      <c r="E2" s="95" t="s">
        <v>121</v>
      </c>
    </row>
    <row r="3" spans="1:5" ht="15.6">
      <c r="A3" s="94"/>
      <c r="B3" s="96" t="s">
        <v>5</v>
      </c>
      <c r="C3" s="97"/>
      <c r="D3" s="97"/>
      <c r="E3" s="97" t="str">
        <f>HYPERLINK("#'Checklist'!A1","Go To Checklist")</f>
        <v>Go To Checklist</v>
      </c>
    </row>
    <row r="4" spans="1:5" ht="40.799999999999997" customHeight="1">
      <c r="A4" s="94"/>
      <c r="B4" s="533" t="s">
        <v>710</v>
      </c>
      <c r="C4" s="534"/>
      <c r="D4" s="534"/>
      <c r="E4" s="535"/>
    </row>
    <row r="5" spans="1:5" ht="15.6" customHeight="1">
      <c r="A5" s="94"/>
      <c r="B5" s="528" t="s">
        <v>918</v>
      </c>
      <c r="C5" s="528"/>
      <c r="D5" s="528"/>
      <c r="E5" s="98"/>
    </row>
    <row r="6" spans="1:5" ht="30.6" customHeight="1">
      <c r="A6" s="94"/>
      <c r="B6" s="983" t="s">
        <v>1250</v>
      </c>
      <c r="C6" s="983"/>
      <c r="D6" s="983"/>
      <c r="E6" s="984" t="s">
        <v>134</v>
      </c>
    </row>
    <row r="7" spans="1:5" ht="17.399999999999999" customHeight="1">
      <c r="A7" s="94"/>
      <c r="B7" s="972" t="s">
        <v>760</v>
      </c>
      <c r="C7" s="561"/>
      <c r="D7" s="561"/>
      <c r="E7" s="101"/>
    </row>
    <row r="8" spans="1:5" ht="29.4" customHeight="1">
      <c r="A8" s="94"/>
      <c r="B8" s="560" t="s">
        <v>1251</v>
      </c>
      <c r="C8" s="560"/>
      <c r="D8" s="560"/>
      <c r="E8" s="101"/>
    </row>
    <row r="9" spans="1:5" ht="17.399999999999999" customHeight="1">
      <c r="A9" s="94"/>
      <c r="B9" s="145" t="s">
        <v>329</v>
      </c>
      <c r="C9" s="128" t="s">
        <v>1256</v>
      </c>
      <c r="D9" s="419" t="s">
        <v>6</v>
      </c>
      <c r="E9" s="14">
        <f>IF(E6="☑",1,0)</f>
        <v>1</v>
      </c>
    </row>
    <row r="10" spans="1:5" ht="19.95" customHeight="1">
      <c r="A10" s="94"/>
      <c r="B10" s="722" t="s">
        <v>122</v>
      </c>
      <c r="C10" s="722"/>
      <c r="D10" s="275" t="s">
        <v>189</v>
      </c>
      <c r="E10" s="8">
        <f>C1</f>
        <v>1</v>
      </c>
    </row>
    <row r="11" spans="1:5">
      <c r="A11" s="94"/>
      <c r="B11" s="97"/>
      <c r="C11" s="97"/>
      <c r="D11" s="97"/>
      <c r="E11" s="97"/>
    </row>
    <row r="12" spans="1:5" ht="13.8" customHeight="1">
      <c r="A12" s="94"/>
      <c r="B12" s="537" t="s">
        <v>146</v>
      </c>
      <c r="C12" s="537"/>
      <c r="D12" s="537"/>
      <c r="E12" s="537"/>
    </row>
    <row r="13" spans="1:5" ht="17.399999999999999" customHeight="1">
      <c r="A13" s="103"/>
      <c r="B13" s="538" t="s">
        <v>1252</v>
      </c>
      <c r="C13" s="538"/>
      <c r="D13" s="538"/>
      <c r="E13" s="101" t="s">
        <v>139</v>
      </c>
    </row>
    <row r="14" spans="1:5" ht="17.399999999999999" customHeight="1">
      <c r="A14" s="103"/>
      <c r="B14" s="538" t="s">
        <v>1253</v>
      </c>
      <c r="C14" s="538"/>
      <c r="D14" s="538"/>
      <c r="E14" s="101" t="s">
        <v>139</v>
      </c>
    </row>
    <row r="15" spans="1:5" ht="18.600000000000001" customHeight="1">
      <c r="A15" s="103"/>
      <c r="B15" s="560" t="s">
        <v>1254</v>
      </c>
      <c r="C15" s="560"/>
      <c r="D15" s="560"/>
      <c r="E15" s="101" t="s">
        <v>139</v>
      </c>
    </row>
    <row r="16" spans="1:5" ht="17.399999999999999" customHeight="1">
      <c r="A16" s="103"/>
      <c r="B16" s="560" t="s">
        <v>1255</v>
      </c>
      <c r="C16" s="560"/>
      <c r="D16" s="560"/>
      <c r="E16" s="101" t="s">
        <v>139</v>
      </c>
    </row>
    <row r="17" spans="1:5" ht="13.8" customHeight="1">
      <c r="A17" s="103"/>
      <c r="B17" s="531" t="s">
        <v>147</v>
      </c>
      <c r="C17" s="531"/>
      <c r="D17" s="531"/>
      <c r="E17" s="531"/>
    </row>
    <row r="18" spans="1:5" ht="14.4">
      <c r="A18" s="103"/>
      <c r="B18" s="97"/>
      <c r="C18" s="97"/>
      <c r="D18" s="97"/>
      <c r="E18" s="97"/>
    </row>
    <row r="19" spans="1:5" ht="14.4">
      <c r="A19" s="103"/>
      <c r="B19" s="97"/>
      <c r="C19" s="97"/>
      <c r="D19" s="97"/>
      <c r="E19" s="97"/>
    </row>
    <row r="20" spans="1:5" ht="14.4">
      <c r="A20" s="103"/>
      <c r="B20" s="97"/>
      <c r="C20" s="97"/>
      <c r="D20" s="97"/>
      <c r="E20" s="97"/>
    </row>
    <row r="21" spans="1:5">
      <c r="A21" s="94"/>
      <c r="B21" s="97"/>
      <c r="C21" s="97"/>
      <c r="D21" s="97"/>
      <c r="E21" s="97"/>
    </row>
    <row r="22" spans="1:5">
      <c r="A22" s="94"/>
      <c r="B22" s="97"/>
      <c r="C22" s="97"/>
      <c r="D22" s="97"/>
      <c r="E22" s="97"/>
    </row>
  </sheetData>
  <sheetProtection sheet="1" objects="1" scenarios="1"/>
  <mergeCells count="12">
    <mergeCell ref="B4:E4"/>
    <mergeCell ref="B15:D15"/>
    <mergeCell ref="B16:D16"/>
    <mergeCell ref="B5:D5"/>
    <mergeCell ref="B17:E17"/>
    <mergeCell ref="B14:D14"/>
    <mergeCell ref="B12:E12"/>
    <mergeCell ref="B13:D13"/>
    <mergeCell ref="B6:D6"/>
    <mergeCell ref="B7:D7"/>
    <mergeCell ref="B10:C10"/>
    <mergeCell ref="B8:D8"/>
  </mergeCells>
  <conditionalFormatting sqref="E9">
    <cfRule type="containsText" dxfId="14" priority="3" operator="containsText" text="Not Compliant">
      <formula>NOT(ISERROR(SEARCH("Not Compliant",E9)))</formula>
    </cfRule>
    <cfRule type="containsText" dxfId="13" priority="4" operator="containsText" text="Compliant">
      <formula>NOT(ISERROR(SEARCH("Compliant",E9)))</formula>
    </cfRule>
  </conditionalFormatting>
  <dataValidations count="2">
    <dataValidation type="decimal" sqref="C1" xr:uid="{00000000-0002-0000-3900-000000000000}">
      <formula1>0</formula1>
      <formula2>1</formula2>
    </dataValidation>
    <dataValidation type="list" sqref="A1 E13:E16 E6:E8" xr:uid="{00000000-0002-0000-3900-000001000000}">
      <formula1>"☐,☑"</formula1>
    </dataValidation>
  </dataValidation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A1:E24"/>
  <sheetViews>
    <sheetView workbookViewId="0">
      <selection activeCell="G7" sqref="G7"/>
    </sheetView>
  </sheetViews>
  <sheetFormatPr defaultRowHeight="13.8"/>
  <cols>
    <col min="1" max="1" width="6" style="93" customWidth="1"/>
    <col min="2" max="2" width="25.796875" style="93" customWidth="1"/>
    <col min="3" max="3" width="26" style="93" customWidth="1"/>
    <col min="4" max="4" width="28.19921875" style="93" customWidth="1"/>
    <col min="5" max="5" width="18" style="93" customWidth="1"/>
    <col min="6" max="16384" width="8.796875" style="93"/>
  </cols>
  <sheetData>
    <row r="1" spans="1:5" ht="17.399999999999999">
      <c r="A1" s="91" t="s">
        <v>134</v>
      </c>
      <c r="B1" s="92" t="s">
        <v>163</v>
      </c>
      <c r="C1" s="9">
        <f>E12</f>
        <v>0</v>
      </c>
      <c r="D1" s="92" t="s">
        <v>317</v>
      </c>
      <c r="E1" s="92">
        <f>IF('Project Info'!$C$8="New Hotel",2,2)</f>
        <v>2</v>
      </c>
    </row>
    <row r="2" spans="1:5" ht="42">
      <c r="A2" s="94"/>
      <c r="B2" s="95" t="s">
        <v>124</v>
      </c>
      <c r="C2" s="95"/>
      <c r="D2" s="95"/>
      <c r="E2" s="95" t="s">
        <v>123</v>
      </c>
    </row>
    <row r="3" spans="1:5" ht="15.6">
      <c r="A3" s="94"/>
      <c r="B3" s="96" t="s">
        <v>5</v>
      </c>
      <c r="C3" s="97"/>
      <c r="D3" s="97"/>
      <c r="E3" s="97" t="str">
        <f>HYPERLINK("#'Checklist'!A1","Go To Checklist")</f>
        <v>Go To Checklist</v>
      </c>
    </row>
    <row r="4" spans="1:5" ht="52.2" customHeight="1">
      <c r="A4" s="94"/>
      <c r="B4" s="533" t="s">
        <v>710</v>
      </c>
      <c r="C4" s="534"/>
      <c r="D4" s="534"/>
      <c r="E4" s="535"/>
    </row>
    <row r="5" spans="1:5" ht="15.6">
      <c r="A5" s="94"/>
      <c r="B5" s="528" t="s">
        <v>918</v>
      </c>
      <c r="C5" s="528"/>
      <c r="D5" s="528"/>
      <c r="E5" s="98"/>
    </row>
    <row r="6" spans="1:5" ht="16.8" customHeight="1">
      <c r="A6" s="94"/>
      <c r="B6" s="529" t="s">
        <v>1257</v>
      </c>
      <c r="C6" s="529"/>
      <c r="D6" s="529"/>
      <c r="E6" s="529"/>
    </row>
    <row r="7" spans="1:5" ht="16.8" customHeight="1">
      <c r="A7" s="94"/>
      <c r="B7" s="490" t="s">
        <v>1259</v>
      </c>
      <c r="C7" s="865" t="s">
        <v>1260</v>
      </c>
      <c r="D7" s="865"/>
      <c r="E7" s="201" t="s">
        <v>137</v>
      </c>
    </row>
    <row r="8" spans="1:5" ht="17.399999999999999" customHeight="1">
      <c r="A8" s="94"/>
      <c r="B8" s="365" t="s">
        <v>1261</v>
      </c>
      <c r="C8" s="828" t="s">
        <v>1262</v>
      </c>
      <c r="D8" s="828"/>
      <c r="E8" s="366" t="s">
        <v>139</v>
      </c>
    </row>
    <row r="9" spans="1:5" ht="19.2" customHeight="1">
      <c r="A9" s="94"/>
      <c r="B9" s="365" t="s">
        <v>1263</v>
      </c>
      <c r="C9" s="828" t="s">
        <v>1266</v>
      </c>
      <c r="D9" s="828"/>
      <c r="E9" s="366" t="s">
        <v>139</v>
      </c>
    </row>
    <row r="10" spans="1:5" ht="17.399999999999999" customHeight="1">
      <c r="A10" s="94"/>
      <c r="B10" s="365" t="s">
        <v>1264</v>
      </c>
      <c r="C10" s="828" t="s">
        <v>1267</v>
      </c>
      <c r="D10" s="828"/>
      <c r="E10" s="412" t="s">
        <v>139</v>
      </c>
    </row>
    <row r="11" spans="1:5" ht="17.399999999999999" customHeight="1">
      <c r="A11" s="94"/>
      <c r="B11" s="365" t="s">
        <v>1265</v>
      </c>
      <c r="C11" s="828" t="s">
        <v>1262</v>
      </c>
      <c r="D11" s="828"/>
      <c r="E11" s="412" t="s">
        <v>139</v>
      </c>
    </row>
    <row r="12" spans="1:5" ht="17.399999999999999" customHeight="1">
      <c r="A12" s="94"/>
      <c r="B12" s="145" t="s">
        <v>329</v>
      </c>
      <c r="C12" s="128" t="s">
        <v>1268</v>
      </c>
      <c r="D12" s="419" t="s">
        <v>6</v>
      </c>
      <c r="E12" s="14">
        <f>MIN(INT(COUNTIF(E8:E11,"☑")/2),2)</f>
        <v>0</v>
      </c>
    </row>
    <row r="13" spans="1:5" ht="17.399999999999999" customHeight="1">
      <c r="A13" s="94"/>
      <c r="B13" s="136"/>
      <c r="C13" s="128"/>
      <c r="D13" s="136"/>
      <c r="E13" s="124"/>
    </row>
    <row r="14" spans="1:5" ht="17.399999999999999" customHeight="1">
      <c r="A14" s="94"/>
      <c r="B14" s="275" t="s">
        <v>124</v>
      </c>
      <c r="C14" s="275"/>
      <c r="D14" s="275" t="s">
        <v>189</v>
      </c>
      <c r="E14" s="8">
        <f>C1</f>
        <v>0</v>
      </c>
    </row>
    <row r="15" spans="1:5">
      <c r="A15" s="94"/>
      <c r="B15" s="97"/>
      <c r="C15" s="97"/>
      <c r="D15" s="97"/>
      <c r="E15" s="97"/>
    </row>
    <row r="16" spans="1:5" ht="13.8" customHeight="1">
      <c r="A16" s="94"/>
      <c r="B16" s="973" t="s">
        <v>146</v>
      </c>
      <c r="C16" s="973"/>
      <c r="D16" s="973"/>
      <c r="E16" s="973"/>
    </row>
    <row r="17" spans="1:5" ht="17.399999999999999" customHeight="1">
      <c r="A17" s="103"/>
      <c r="B17" s="538" t="s">
        <v>1269</v>
      </c>
      <c r="C17" s="538"/>
      <c r="D17" s="538"/>
      <c r="E17" s="101" t="s">
        <v>139</v>
      </c>
    </row>
    <row r="18" spans="1:5" ht="17.399999999999999" customHeight="1">
      <c r="A18" s="103"/>
      <c r="B18" s="538" t="s">
        <v>1270</v>
      </c>
      <c r="C18" s="538"/>
      <c r="D18" s="538"/>
      <c r="E18" s="101" t="s">
        <v>139</v>
      </c>
    </row>
    <row r="19" spans="1:5" ht="17.399999999999999" customHeight="1">
      <c r="A19" s="103"/>
      <c r="B19" s="538" t="s">
        <v>1271</v>
      </c>
      <c r="C19" s="538"/>
      <c r="D19" s="538"/>
      <c r="E19" s="101" t="s">
        <v>139</v>
      </c>
    </row>
    <row r="20" spans="1:5" ht="13.8" customHeight="1">
      <c r="A20" s="103"/>
      <c r="B20" s="531" t="s">
        <v>147</v>
      </c>
      <c r="C20" s="531"/>
      <c r="D20" s="531"/>
      <c r="E20" s="531"/>
    </row>
    <row r="21" spans="1:5" ht="14.4">
      <c r="A21" s="103"/>
      <c r="B21" s="97"/>
      <c r="C21" s="97"/>
      <c r="D21" s="97"/>
      <c r="E21" s="97"/>
    </row>
    <row r="22" spans="1:5" ht="14.4">
      <c r="A22" s="103"/>
      <c r="B22" s="97"/>
      <c r="C22" s="97"/>
      <c r="D22" s="97"/>
      <c r="E22" s="97"/>
    </row>
    <row r="23" spans="1:5" ht="14.4">
      <c r="A23" s="103"/>
      <c r="B23" s="97"/>
      <c r="C23" s="97"/>
      <c r="D23" s="97"/>
      <c r="E23" s="97"/>
    </row>
    <row r="24" spans="1:5">
      <c r="A24" s="94"/>
      <c r="B24" s="97"/>
      <c r="C24" s="97"/>
      <c r="D24" s="97"/>
      <c r="E24" s="97"/>
    </row>
  </sheetData>
  <sheetProtection sheet="1" objects="1" scenarios="1"/>
  <mergeCells count="13">
    <mergeCell ref="B20:E20"/>
    <mergeCell ref="B18:D18"/>
    <mergeCell ref="B19:D19"/>
    <mergeCell ref="B4:E4"/>
    <mergeCell ref="B16:E16"/>
    <mergeCell ref="B17:D17"/>
    <mergeCell ref="B5:D5"/>
    <mergeCell ref="B6:E6"/>
    <mergeCell ref="C7:D7"/>
    <mergeCell ref="C8:D8"/>
    <mergeCell ref="C9:D9"/>
    <mergeCell ref="C10:D10"/>
    <mergeCell ref="C11:D11"/>
  </mergeCells>
  <conditionalFormatting sqref="E12:E13">
    <cfRule type="containsText" dxfId="12" priority="3" operator="containsText" text="Not Compliant">
      <formula>NOT(ISERROR(SEARCH("Not Compliant",E12)))</formula>
    </cfRule>
    <cfRule type="containsText" dxfId="11" priority="4" operator="containsText" text="Compliant">
      <formula>NOT(ISERROR(SEARCH("Compliant",E12)))</formula>
    </cfRule>
  </conditionalFormatting>
  <dataValidations disablePrompts="1" count="2">
    <dataValidation type="decimal" sqref="C1" xr:uid="{00000000-0002-0000-3A00-000000000000}">
      <formula1>0</formula1>
      <formula2>2</formula2>
    </dataValidation>
    <dataValidation type="list" sqref="A1 E17:E19 E8:E11" xr:uid="{00000000-0002-0000-3A00-000001000000}">
      <formula1>"☐,☑"</formula1>
    </dataValidation>
  </dataValidation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A1:E32"/>
  <sheetViews>
    <sheetView workbookViewId="0">
      <selection activeCell="E3" sqref="E3"/>
    </sheetView>
  </sheetViews>
  <sheetFormatPr defaultRowHeight="13.8"/>
  <cols>
    <col min="1" max="1" width="6" style="93" customWidth="1"/>
    <col min="2" max="2" width="36.5" style="93" customWidth="1"/>
    <col min="3" max="3" width="29.69921875" style="93" customWidth="1"/>
    <col min="4" max="4" width="26" style="93" customWidth="1"/>
    <col min="5" max="5" width="18" style="93" customWidth="1"/>
    <col min="6" max="16384" width="8.796875" style="93"/>
  </cols>
  <sheetData>
    <row r="1" spans="1:5" ht="17.399999999999999">
      <c r="A1" s="91" t="s">
        <v>134</v>
      </c>
      <c r="B1" s="92" t="s">
        <v>163</v>
      </c>
      <c r="C1" s="9">
        <f>E13</f>
        <v>0</v>
      </c>
      <c r="D1" s="92" t="s">
        <v>317</v>
      </c>
      <c r="E1" s="92">
        <f>IF('Project Info'!$C$8="New Hotel",1,1)</f>
        <v>1</v>
      </c>
    </row>
    <row r="2" spans="1:5" ht="42">
      <c r="A2" s="94"/>
      <c r="B2" s="95" t="s">
        <v>126</v>
      </c>
      <c r="C2" s="95"/>
      <c r="D2" s="95"/>
      <c r="E2" s="95" t="s">
        <v>125</v>
      </c>
    </row>
    <row r="3" spans="1:5" ht="15.6">
      <c r="A3" s="94"/>
      <c r="B3" s="96" t="s">
        <v>5</v>
      </c>
      <c r="C3" s="97"/>
      <c r="D3" s="97"/>
      <c r="E3" s="97" t="str">
        <f>HYPERLINK("#'Checklist'!A1","Go To Checklist")</f>
        <v>Go To Checklist</v>
      </c>
    </row>
    <row r="4" spans="1:5" ht="47.4" customHeight="1">
      <c r="A4" s="94"/>
      <c r="B4" s="533" t="s">
        <v>710</v>
      </c>
      <c r="C4" s="534"/>
      <c r="D4" s="534"/>
      <c r="E4" s="535"/>
    </row>
    <row r="5" spans="1:5" ht="15.6" customHeight="1">
      <c r="A5" s="94"/>
      <c r="B5" s="528" t="s">
        <v>918</v>
      </c>
      <c r="C5" s="528"/>
      <c r="D5" s="528"/>
      <c r="E5" s="98"/>
    </row>
    <row r="6" spans="1:5" ht="15.6" customHeight="1">
      <c r="A6" s="94"/>
      <c r="B6" s="228" t="s">
        <v>1272</v>
      </c>
      <c r="C6" s="422"/>
      <c r="D6" s="422"/>
      <c r="E6" s="229"/>
    </row>
    <row r="7" spans="1:5" ht="15.6">
      <c r="A7" s="94"/>
      <c r="B7" s="109" t="s">
        <v>434</v>
      </c>
      <c r="C7" s="865" t="s">
        <v>329</v>
      </c>
      <c r="D7" s="865"/>
      <c r="E7" s="201" t="s">
        <v>137</v>
      </c>
    </row>
    <row r="8" spans="1:5" ht="23.4" customHeight="1">
      <c r="A8" s="94"/>
      <c r="B8" s="174" t="s">
        <v>1276</v>
      </c>
      <c r="C8" s="621" t="s">
        <v>435</v>
      </c>
      <c r="D8" s="621"/>
      <c r="E8" s="243" t="s">
        <v>139</v>
      </c>
    </row>
    <row r="9" spans="1:5" ht="16.2" customHeight="1">
      <c r="A9" s="94"/>
      <c r="B9" s="894" t="s">
        <v>816</v>
      </c>
      <c r="C9" s="894"/>
      <c r="D9" s="894"/>
      <c r="E9" s="894"/>
    </row>
    <row r="10" spans="1:5" ht="16.8" customHeight="1">
      <c r="A10" s="94"/>
      <c r="B10" s="827" t="s">
        <v>1274</v>
      </c>
      <c r="C10" s="827"/>
      <c r="D10" s="827"/>
      <c r="E10" s="229"/>
    </row>
    <row r="11" spans="1:5" ht="27.6">
      <c r="A11" s="94"/>
      <c r="B11" s="443" t="s">
        <v>436</v>
      </c>
      <c r="C11" s="130" t="s">
        <v>1633</v>
      </c>
      <c r="D11" s="110" t="s">
        <v>1634</v>
      </c>
      <c r="E11" s="201" t="s">
        <v>137</v>
      </c>
    </row>
    <row r="12" spans="1:5" ht="31.2" customHeight="1">
      <c r="A12" s="94"/>
      <c r="B12" s="147" t="s">
        <v>1275</v>
      </c>
      <c r="C12" s="143" t="s">
        <v>1635</v>
      </c>
      <c r="D12" s="143"/>
      <c r="E12" s="243" t="s">
        <v>139</v>
      </c>
    </row>
    <row r="13" spans="1:5" ht="19.8" customHeight="1">
      <c r="A13" s="94"/>
      <c r="B13" s="145" t="s">
        <v>329</v>
      </c>
      <c r="C13" s="104" t="s">
        <v>1277</v>
      </c>
      <c r="D13" s="419" t="s">
        <v>6</v>
      </c>
      <c r="E13" s="14">
        <f>IF(OR(E8="☑",E12="☑"),1,0)</f>
        <v>0</v>
      </c>
    </row>
    <row r="14" spans="1:5" ht="19.8" customHeight="1">
      <c r="A14" s="94"/>
      <c r="B14" s="136"/>
      <c r="C14" s="104"/>
      <c r="D14" s="136"/>
      <c r="E14" s="124"/>
    </row>
    <row r="15" spans="1:5">
      <c r="A15" s="94"/>
      <c r="B15" s="539" t="s">
        <v>126</v>
      </c>
      <c r="C15" s="539"/>
      <c r="D15" s="275" t="s">
        <v>189</v>
      </c>
      <c r="E15" s="8">
        <f>C1</f>
        <v>0</v>
      </c>
    </row>
    <row r="16" spans="1:5" ht="17.399999999999999" customHeight="1">
      <c r="A16" s="94"/>
      <c r="B16" s="97"/>
      <c r="C16" s="97"/>
      <c r="D16" s="97"/>
      <c r="E16" s="97"/>
    </row>
    <row r="17" spans="1:5" ht="17.399999999999999" customHeight="1">
      <c r="A17" s="94"/>
      <c r="B17" s="537" t="s">
        <v>1661</v>
      </c>
      <c r="C17" s="537"/>
      <c r="D17" s="537"/>
      <c r="E17" s="537"/>
    </row>
    <row r="18" spans="1:5" ht="17.399999999999999" customHeight="1">
      <c r="A18" s="94"/>
      <c r="B18" s="748" t="s">
        <v>1272</v>
      </c>
      <c r="C18" s="748"/>
      <c r="D18" s="748"/>
      <c r="E18" s="101"/>
    </row>
    <row r="19" spans="1:5" ht="17.399999999999999" customHeight="1">
      <c r="A19" s="103"/>
      <c r="B19" s="538" t="s">
        <v>1278</v>
      </c>
      <c r="C19" s="538"/>
      <c r="D19" s="538"/>
      <c r="E19" s="101" t="s">
        <v>139</v>
      </c>
    </row>
    <row r="20" spans="1:5" ht="17.399999999999999" customHeight="1">
      <c r="A20" s="103"/>
      <c r="B20" s="538" t="s">
        <v>1279</v>
      </c>
      <c r="C20" s="538"/>
      <c r="D20" s="538"/>
      <c r="E20" s="101" t="s">
        <v>139</v>
      </c>
    </row>
    <row r="21" spans="1:5" ht="17.399999999999999" customHeight="1">
      <c r="A21" s="103"/>
      <c r="B21" s="538" t="s">
        <v>1280</v>
      </c>
      <c r="C21" s="538"/>
      <c r="D21" s="538"/>
      <c r="E21" s="101" t="s">
        <v>139</v>
      </c>
    </row>
    <row r="22" spans="1:5" ht="17.399999999999999" customHeight="1">
      <c r="A22" s="103"/>
      <c r="B22" s="538" t="s">
        <v>1281</v>
      </c>
      <c r="C22" s="538"/>
      <c r="D22" s="538"/>
      <c r="E22" s="101" t="s">
        <v>139</v>
      </c>
    </row>
    <row r="23" spans="1:5" ht="17.399999999999999">
      <c r="A23" s="103"/>
      <c r="B23" s="581" t="s">
        <v>1274</v>
      </c>
      <c r="C23" s="581"/>
      <c r="D23" s="97"/>
      <c r="E23" s="101"/>
    </row>
    <row r="24" spans="1:5" ht="17.399999999999999" customHeight="1">
      <c r="A24" s="103"/>
      <c r="B24" s="538" t="s">
        <v>1282</v>
      </c>
      <c r="C24" s="538"/>
      <c r="D24" s="538"/>
      <c r="E24" s="101" t="s">
        <v>139</v>
      </c>
    </row>
    <row r="25" spans="1:5" ht="17.399999999999999" customHeight="1">
      <c r="A25" s="103"/>
      <c r="B25" s="538" t="s">
        <v>1283</v>
      </c>
      <c r="C25" s="538"/>
      <c r="D25" s="538"/>
      <c r="E25" s="101" t="s">
        <v>139</v>
      </c>
    </row>
    <row r="26" spans="1:5" ht="17.399999999999999">
      <c r="A26" s="103"/>
      <c r="B26" s="538" t="s">
        <v>1284</v>
      </c>
      <c r="C26" s="538"/>
      <c r="D26" s="538"/>
      <c r="E26" s="101" t="s">
        <v>139</v>
      </c>
    </row>
    <row r="27" spans="1:5" ht="17.399999999999999" customHeight="1">
      <c r="A27" s="103"/>
      <c r="B27" s="538" t="s">
        <v>1285</v>
      </c>
      <c r="C27" s="538"/>
      <c r="D27" s="538"/>
      <c r="E27" s="101" t="s">
        <v>139</v>
      </c>
    </row>
    <row r="28" spans="1:5" ht="14.4">
      <c r="A28" s="103"/>
      <c r="B28" s="531" t="s">
        <v>147</v>
      </c>
      <c r="C28" s="531"/>
      <c r="D28" s="531"/>
      <c r="E28" s="531"/>
    </row>
    <row r="29" spans="1:5" ht="14.4">
      <c r="A29" s="103"/>
      <c r="B29" s="97"/>
      <c r="C29" s="97"/>
      <c r="D29" s="97"/>
      <c r="E29" s="97"/>
    </row>
    <row r="30" spans="1:5" ht="14.4">
      <c r="A30" s="103"/>
      <c r="B30" s="97"/>
      <c r="C30" s="97"/>
      <c r="D30" s="97"/>
      <c r="E30" s="97"/>
    </row>
    <row r="31" spans="1:5" ht="14.4">
      <c r="A31" s="103"/>
      <c r="B31" s="97"/>
      <c r="C31" s="97"/>
      <c r="D31" s="97"/>
      <c r="E31" s="97"/>
    </row>
    <row r="32" spans="1:5">
      <c r="B32" s="97"/>
      <c r="C32" s="97"/>
      <c r="D32" s="97"/>
      <c r="E32" s="97"/>
    </row>
  </sheetData>
  <sheetProtection sheet="1" objects="1" scenarios="1"/>
  <mergeCells count="19">
    <mergeCell ref="B4:E4"/>
    <mergeCell ref="B15:C15"/>
    <mergeCell ref="B5:D5"/>
    <mergeCell ref="B10:D10"/>
    <mergeCell ref="B9:E9"/>
    <mergeCell ref="C7:D7"/>
    <mergeCell ref="C8:D8"/>
    <mergeCell ref="B28:E28"/>
    <mergeCell ref="B25:D25"/>
    <mergeCell ref="B26:D26"/>
    <mergeCell ref="B27:D27"/>
    <mergeCell ref="B17:E17"/>
    <mergeCell ref="B18:D18"/>
    <mergeCell ref="B19:D19"/>
    <mergeCell ref="B20:D20"/>
    <mergeCell ref="B21:D21"/>
    <mergeCell ref="B22:D22"/>
    <mergeCell ref="B24:D24"/>
    <mergeCell ref="B23:C23"/>
  </mergeCells>
  <conditionalFormatting sqref="E9">
    <cfRule type="containsText" dxfId="10" priority="17" operator="containsText" text="Not Compliant">
      <formula>NOT(ISERROR(SEARCH("Not Compliant",E9)))</formula>
    </cfRule>
    <cfRule type="containsText" dxfId="9" priority="18" operator="containsText" text="Compliant">
      <formula>NOT(ISERROR(SEARCH("Compliant",E9)))</formula>
    </cfRule>
  </conditionalFormatting>
  <conditionalFormatting sqref="E13:E14">
    <cfRule type="containsText" dxfId="8" priority="13" operator="containsText" text="Not Compliant">
      <formula>NOT(ISERROR(SEARCH("Not Compliant",E13)))</formula>
    </cfRule>
    <cfRule type="containsText" dxfId="7" priority="14" operator="containsText" text="Compliant">
      <formula>NOT(ISERROR(SEARCH("Compliant",E13)))</formula>
    </cfRule>
  </conditionalFormatting>
  <dataValidations count="3">
    <dataValidation type="decimal" sqref="C1" xr:uid="{00000000-0002-0000-3B00-000000000000}">
      <formula1>0</formula1>
      <formula2>1</formula2>
    </dataValidation>
    <dataValidation type="list" sqref="A1 E18:E27 E8 E12" xr:uid="{00000000-0002-0000-3B00-000001000000}">
      <formula1>"☐,☑"</formula1>
    </dataValidation>
    <dataValidation type="list" allowBlank="1" showInputMessage="1" showErrorMessage="1" sqref="C12" xr:uid="{16D09549-75E8-4566-9E9C-75C68FF5A7B5}">
      <formula1>"Ozone treatment systems, Ultraviolet (UV) disinfection, Combination systems (UV+low chlorine), Any other system"</formula1>
    </dataValidation>
  </dataValidations>
  <pageMargins left="0.7" right="0.7" top="0.75" bottom="0.75" header="0.3" footer="0.3"/>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dimension ref="A1:E36"/>
  <sheetViews>
    <sheetView topLeftCell="A4" zoomScale="90" zoomScaleNormal="90" workbookViewId="0">
      <selection activeCell="H9" sqref="H9"/>
    </sheetView>
  </sheetViews>
  <sheetFormatPr defaultRowHeight="13.8"/>
  <cols>
    <col min="1" max="1" width="13.09765625" customWidth="1"/>
    <col min="2" max="2" width="25.796875" customWidth="1"/>
    <col min="3" max="3" width="26" customWidth="1"/>
    <col min="4" max="4" width="17.59765625" customWidth="1"/>
    <col min="5" max="5" width="16.19921875" customWidth="1"/>
  </cols>
  <sheetData>
    <row r="1" spans="1:5" ht="17.399999999999999">
      <c r="A1" s="6" t="s">
        <v>134</v>
      </c>
      <c r="B1" s="4" t="s">
        <v>163</v>
      </c>
      <c r="C1" s="9">
        <f>E22</f>
        <v>0</v>
      </c>
      <c r="D1" s="4" t="s">
        <v>317</v>
      </c>
      <c r="E1" s="4">
        <f>IF('Project Info'!$C$8="New Hotel",1,1)</f>
        <v>1</v>
      </c>
    </row>
    <row r="2" spans="1:5" ht="42">
      <c r="A2" s="2"/>
      <c r="B2" s="5" t="s">
        <v>128</v>
      </c>
      <c r="C2" s="5"/>
      <c r="D2" s="5"/>
      <c r="E2" s="5" t="s">
        <v>127</v>
      </c>
    </row>
    <row r="3" spans="1:5" ht="15.6">
      <c r="A3" s="2"/>
      <c r="B3" s="16" t="s">
        <v>5</v>
      </c>
      <c r="C3" s="3"/>
      <c r="D3" s="3"/>
      <c r="E3" s="3" t="str">
        <f>HYPERLINK("#'Checklist'!A1","Go To Checklist")</f>
        <v>Go To Checklist</v>
      </c>
    </row>
    <row r="4" spans="1:5" ht="46.2" customHeight="1">
      <c r="A4" s="2"/>
      <c r="B4" s="882" t="s">
        <v>710</v>
      </c>
      <c r="C4" s="883"/>
      <c r="D4" s="883"/>
      <c r="E4" s="884"/>
    </row>
    <row r="5" spans="1:5" ht="15.6" customHeight="1">
      <c r="A5" s="2"/>
      <c r="B5" s="962" t="s">
        <v>918</v>
      </c>
      <c r="C5" s="962"/>
      <c r="D5" s="962"/>
      <c r="E5" s="40"/>
    </row>
    <row r="6" spans="1:5" ht="19.8" customHeight="1">
      <c r="A6" s="2"/>
      <c r="B6" s="976" t="s">
        <v>1286</v>
      </c>
      <c r="C6" s="976"/>
      <c r="D6" s="976"/>
      <c r="E6" s="976"/>
    </row>
    <row r="7" spans="1:5" ht="19.8" customHeight="1">
      <c r="A7" s="2"/>
      <c r="B7" s="85" t="s">
        <v>1636</v>
      </c>
      <c r="C7" s="66" t="s">
        <v>1637</v>
      </c>
      <c r="D7" s="966" t="s">
        <v>1638</v>
      </c>
      <c r="E7" s="966"/>
    </row>
    <row r="8" spans="1:5" ht="19.95" customHeight="1">
      <c r="A8" s="2"/>
      <c r="B8" s="981"/>
      <c r="C8" s="364"/>
      <c r="D8" s="982" t="str">
        <f>IF(C8="","",IF(C8="Organic","Compliant","Not Compliant"))</f>
        <v/>
      </c>
      <c r="E8" s="982"/>
    </row>
    <row r="9" spans="1:5" ht="19.95" customHeight="1">
      <c r="A9" s="2"/>
      <c r="B9" s="981"/>
      <c r="C9" s="364"/>
      <c r="D9" s="982" t="str">
        <f>IF(C9="","",IF(C9="Organic","Compliant","Not Compliant"))</f>
        <v/>
      </c>
      <c r="E9" s="982"/>
    </row>
    <row r="10" spans="1:5" ht="19.95" customHeight="1">
      <c r="A10" s="2"/>
      <c r="B10" s="981"/>
      <c r="C10" s="364"/>
      <c r="D10" s="982" t="str">
        <f t="shared" ref="D10:D19" si="0">IF(C10="","",IF(C10="Organic","Compliant","Not Compliant"))</f>
        <v/>
      </c>
      <c r="E10" s="982"/>
    </row>
    <row r="11" spans="1:5" ht="19.95" customHeight="1">
      <c r="A11" s="2"/>
      <c r="B11" s="981"/>
      <c r="C11" s="364"/>
      <c r="D11" s="982" t="str">
        <f t="shared" si="0"/>
        <v/>
      </c>
      <c r="E11" s="982"/>
    </row>
    <row r="12" spans="1:5" ht="19.95" customHeight="1">
      <c r="A12" s="2"/>
      <c r="B12" s="981"/>
      <c r="C12" s="364"/>
      <c r="D12" s="982" t="str">
        <f t="shared" si="0"/>
        <v/>
      </c>
      <c r="E12" s="982"/>
    </row>
    <row r="13" spans="1:5" ht="19.95" customHeight="1">
      <c r="A13" s="2"/>
      <c r="B13" s="981"/>
      <c r="C13" s="364"/>
      <c r="D13" s="982" t="str">
        <f t="shared" si="0"/>
        <v/>
      </c>
      <c r="E13" s="982"/>
    </row>
    <row r="14" spans="1:5" ht="19.95" customHeight="1">
      <c r="A14" s="2"/>
      <c r="B14" s="981"/>
      <c r="C14" s="364"/>
      <c r="D14" s="982" t="str">
        <f t="shared" si="0"/>
        <v/>
      </c>
      <c r="E14" s="982"/>
    </row>
    <row r="15" spans="1:5" ht="19.95" customHeight="1">
      <c r="A15" s="2"/>
      <c r="B15" s="981"/>
      <c r="C15" s="364"/>
      <c r="D15" s="982" t="str">
        <f t="shared" si="0"/>
        <v/>
      </c>
      <c r="E15" s="982"/>
    </row>
    <row r="16" spans="1:5" ht="19.95" customHeight="1">
      <c r="A16" s="2"/>
      <c r="B16" s="981"/>
      <c r="C16" s="364"/>
      <c r="D16" s="982" t="str">
        <f t="shared" si="0"/>
        <v/>
      </c>
      <c r="E16" s="982"/>
    </row>
    <row r="17" spans="1:5" ht="19.95" customHeight="1">
      <c r="A17" s="2"/>
      <c r="B17" s="981"/>
      <c r="C17" s="364"/>
      <c r="D17" s="982" t="str">
        <f t="shared" si="0"/>
        <v/>
      </c>
      <c r="E17" s="982"/>
    </row>
    <row r="18" spans="1:5" ht="19.95" customHeight="1">
      <c r="A18" s="2"/>
      <c r="B18" s="981"/>
      <c r="C18" s="364"/>
      <c r="D18" s="982" t="str">
        <f t="shared" si="0"/>
        <v/>
      </c>
      <c r="E18" s="982"/>
    </row>
    <row r="19" spans="1:5" ht="19.95" customHeight="1">
      <c r="A19" s="2"/>
      <c r="B19" s="981"/>
      <c r="C19" s="364"/>
      <c r="D19" s="982" t="str">
        <f t="shared" si="0"/>
        <v/>
      </c>
      <c r="E19" s="982"/>
    </row>
    <row r="20" spans="1:5" ht="30.6" customHeight="1">
      <c r="A20" s="2"/>
      <c r="B20" s="60" t="s">
        <v>585</v>
      </c>
      <c r="C20" s="19"/>
      <c r="D20" s="19"/>
      <c r="E20" s="61"/>
    </row>
    <row r="21" spans="1:5" ht="29.4" customHeight="1">
      <c r="B21" s="974" t="s">
        <v>1287</v>
      </c>
      <c r="C21" s="974"/>
      <c r="D21" s="974"/>
      <c r="E21" s="974"/>
    </row>
    <row r="22" spans="1:5" ht="31.2" customHeight="1">
      <c r="B22" s="974" t="s">
        <v>1288</v>
      </c>
      <c r="C22" s="974"/>
      <c r="D22" s="974"/>
      <c r="E22" s="974"/>
    </row>
    <row r="23" spans="1:5" ht="27.6">
      <c r="B23" s="33" t="s">
        <v>329</v>
      </c>
      <c r="C23" s="19" t="s">
        <v>1657</v>
      </c>
      <c r="D23" s="45" t="s">
        <v>6</v>
      </c>
      <c r="E23" s="481">
        <f>IF(COUNTIF(C8:C19,"&lt;&gt;")=0,0,IF(COUNTIF(D8:D19,"Not Compliant")&gt;0,0,IF(COUNTIFS(C8:C19,"&lt;&gt;",D8:D19,"Compliant")=COUNTIF(C8:C19,"&lt;&gt;"),1,0)))</f>
        <v>0</v>
      </c>
    </row>
    <row r="24" spans="1:5" ht="18" customHeight="1">
      <c r="B24" s="943" t="s">
        <v>128</v>
      </c>
      <c r="C24" s="943"/>
      <c r="D24" s="11" t="s">
        <v>189</v>
      </c>
      <c r="E24" s="8">
        <f>C1</f>
        <v>0</v>
      </c>
    </row>
    <row r="25" spans="1:5" ht="13.8" customHeight="1">
      <c r="B25" s="3"/>
      <c r="C25" s="3"/>
      <c r="D25" s="3"/>
    </row>
    <row r="26" spans="1:5" ht="18.600000000000001" customHeight="1">
      <c r="A26" s="65"/>
      <c r="B26" s="923" t="s">
        <v>1661</v>
      </c>
      <c r="C26" s="923"/>
      <c r="D26" s="923"/>
      <c r="E26" s="923"/>
    </row>
    <row r="27" spans="1:5" ht="17.399999999999999">
      <c r="A27" s="65"/>
      <c r="B27" s="881" t="s">
        <v>1289</v>
      </c>
      <c r="C27" s="881"/>
      <c r="D27" s="881"/>
      <c r="E27" s="7" t="s">
        <v>139</v>
      </c>
    </row>
    <row r="28" spans="1:5" ht="17.399999999999999">
      <c r="A28" s="65"/>
      <c r="B28" s="881" t="s">
        <v>1290</v>
      </c>
      <c r="C28" s="881"/>
      <c r="D28" s="881"/>
      <c r="E28" s="7" t="s">
        <v>139</v>
      </c>
    </row>
    <row r="29" spans="1:5" ht="17.399999999999999">
      <c r="A29" s="65"/>
      <c r="B29" s="881" t="s">
        <v>1291</v>
      </c>
      <c r="C29" s="881"/>
      <c r="D29" s="881"/>
      <c r="E29" s="7" t="s">
        <v>139</v>
      </c>
    </row>
    <row r="30" spans="1:5" ht="17.399999999999999">
      <c r="A30" s="65"/>
      <c r="B30" s="881" t="s">
        <v>1292</v>
      </c>
      <c r="C30" s="881"/>
      <c r="D30" s="881"/>
      <c r="E30" s="7" t="s">
        <v>139</v>
      </c>
    </row>
    <row r="31" spans="1:5" ht="14.4" customHeight="1">
      <c r="A31" s="65"/>
      <c r="B31" s="881" t="s">
        <v>1293</v>
      </c>
      <c r="C31" s="881"/>
      <c r="D31" s="881"/>
      <c r="E31" s="13"/>
    </row>
    <row r="32" spans="1:5" ht="18.600000000000001" customHeight="1">
      <c r="A32" s="65"/>
      <c r="B32" s="975" t="s">
        <v>147</v>
      </c>
      <c r="C32" s="975"/>
      <c r="D32" s="975"/>
      <c r="E32" s="975"/>
    </row>
    <row r="33" spans="1:5" ht="14.4">
      <c r="A33" s="65"/>
      <c r="B33" s="3"/>
      <c r="C33" s="3"/>
      <c r="D33" s="3"/>
      <c r="E33" s="3"/>
    </row>
    <row r="34" spans="1:5" ht="14.4">
      <c r="A34" s="65"/>
      <c r="B34" s="3"/>
      <c r="C34" s="3"/>
      <c r="D34" s="3"/>
      <c r="E34" s="3"/>
    </row>
    <row r="35" spans="1:5">
      <c r="B35" s="3"/>
      <c r="C35" s="3"/>
      <c r="D35" s="3"/>
      <c r="E35" s="3"/>
    </row>
    <row r="36" spans="1:5">
      <c r="B36" s="3"/>
      <c r="C36" s="3"/>
      <c r="D36" s="3"/>
    </row>
  </sheetData>
  <mergeCells count="26">
    <mergeCell ref="D10:E10"/>
    <mergeCell ref="D18:E18"/>
    <mergeCell ref="D19:E19"/>
    <mergeCell ref="B6:E6"/>
    <mergeCell ref="B4:E4"/>
    <mergeCell ref="B5:D5"/>
    <mergeCell ref="D7:E7"/>
    <mergeCell ref="D8:E8"/>
    <mergeCell ref="D9:E9"/>
    <mergeCell ref="B32:E32"/>
    <mergeCell ref="B28:D28"/>
    <mergeCell ref="B29:D29"/>
    <mergeCell ref="B30:D30"/>
    <mergeCell ref="B31:D31"/>
    <mergeCell ref="B26:E26"/>
    <mergeCell ref="B27:D27"/>
    <mergeCell ref="B24:C24"/>
    <mergeCell ref="D11:E11"/>
    <mergeCell ref="D12:E12"/>
    <mergeCell ref="D13:E13"/>
    <mergeCell ref="D14:E14"/>
    <mergeCell ref="D15:E15"/>
    <mergeCell ref="D16:E16"/>
    <mergeCell ref="D17:E17"/>
    <mergeCell ref="B21:E21"/>
    <mergeCell ref="B22:E22"/>
  </mergeCells>
  <dataValidations count="3">
    <dataValidation type="decimal" sqref="C1" xr:uid="{00000000-0002-0000-3C00-000000000000}">
      <formula1>0</formula1>
      <formula2>1</formula2>
    </dataValidation>
    <dataValidation type="list" sqref="A1 E27:E30" xr:uid="{00000000-0002-0000-3C00-000001000000}">
      <formula1>"☐,☑"</formula1>
    </dataValidation>
    <dataValidation type="list" allowBlank="1" showInputMessage="1" showErrorMessage="1" sqref="C8:C19" xr:uid="{3AD9C587-917A-4D04-988F-2F3B3A89BB25}">
      <formula1>"Organic, Chemical"</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6740" r:id="rId3" name="Button 4">
              <controlPr defaultSize="0" print="0" autoFill="0" autoPict="0" macro="[0]!Add_Fertilizer_Row">
                <anchor moveWithCells="1" sizeWithCells="1">
                  <from>
                    <xdr:col>0</xdr:col>
                    <xdr:colOff>68580</xdr:colOff>
                    <xdr:row>17</xdr:row>
                    <xdr:rowOff>243840</xdr:rowOff>
                  </from>
                  <to>
                    <xdr:col>0</xdr:col>
                    <xdr:colOff>982980</xdr:colOff>
                    <xdr:row>19</xdr:row>
                    <xdr:rowOff>0</xdr:rowOff>
                  </to>
                </anchor>
              </controlPr>
            </control>
          </mc:Choice>
        </mc:AlternateContent>
      </controls>
    </mc:Choice>
  </mc:AlternateConten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dimension ref="A1:E56"/>
  <sheetViews>
    <sheetView topLeftCell="A7" zoomScale="80" zoomScaleNormal="80" workbookViewId="0">
      <selection activeCell="I22" sqref="I22"/>
    </sheetView>
  </sheetViews>
  <sheetFormatPr defaultRowHeight="13.8"/>
  <cols>
    <col min="1" max="1" width="6" style="93" customWidth="1"/>
    <col min="2" max="2" width="22.796875" style="93" customWidth="1"/>
    <col min="3" max="3" width="53.796875" style="93" customWidth="1"/>
    <col min="4" max="4" width="26" style="93" customWidth="1"/>
    <col min="5" max="5" width="18" style="93" customWidth="1"/>
    <col min="6" max="16384" width="8.796875" style="93"/>
  </cols>
  <sheetData>
    <row r="1" spans="1:5" ht="17.399999999999999">
      <c r="A1" s="91" t="s">
        <v>134</v>
      </c>
      <c r="B1" s="92" t="s">
        <v>163</v>
      </c>
      <c r="C1" s="9">
        <f>MAX(E12,E41)</f>
        <v>4</v>
      </c>
      <c r="D1" s="92" t="s">
        <v>317</v>
      </c>
      <c r="E1" s="92">
        <f>IF('Project Info'!$C$8="New Hotel",4,4)</f>
        <v>4</v>
      </c>
    </row>
    <row r="2" spans="1:5" ht="63">
      <c r="A2" s="94"/>
      <c r="B2" s="95" t="s">
        <v>129</v>
      </c>
      <c r="C2" s="95"/>
      <c r="D2" s="95"/>
      <c r="E2" s="95" t="s">
        <v>130</v>
      </c>
    </row>
    <row r="3" spans="1:5" ht="15.6">
      <c r="A3" s="94"/>
      <c r="B3" s="96" t="s">
        <v>5</v>
      </c>
      <c r="C3" s="97"/>
      <c r="D3" s="97"/>
      <c r="E3" s="97" t="str">
        <f>HYPERLINK("#'Checklist'!A1","Go To Checklist")</f>
        <v>Go To Checklist</v>
      </c>
    </row>
    <row r="4" spans="1:5" ht="45" customHeight="1">
      <c r="A4" s="94"/>
      <c r="B4" s="533" t="s">
        <v>710</v>
      </c>
      <c r="C4" s="534"/>
      <c r="D4" s="534"/>
      <c r="E4" s="535"/>
    </row>
    <row r="5" spans="1:5" ht="15.6" customHeight="1">
      <c r="A5" s="94"/>
      <c r="B5" s="528" t="s">
        <v>918</v>
      </c>
      <c r="C5" s="528"/>
      <c r="D5" s="528"/>
      <c r="E5" s="98"/>
    </row>
    <row r="6" spans="1:5" ht="15.6" customHeight="1">
      <c r="A6" s="94"/>
      <c r="B6" s="692" t="s">
        <v>1321</v>
      </c>
      <c r="C6" s="692"/>
      <c r="D6" s="692"/>
      <c r="E6" s="229"/>
    </row>
    <row r="7" spans="1:5" ht="30.6" customHeight="1">
      <c r="A7" s="94"/>
      <c r="B7" s="839" t="s">
        <v>1322</v>
      </c>
      <c r="C7" s="839"/>
      <c r="D7" s="839"/>
      <c r="E7" s="484" t="s">
        <v>134</v>
      </c>
    </row>
    <row r="8" spans="1:5" ht="15.6" customHeight="1">
      <c r="A8" s="94"/>
      <c r="B8" s="979" t="s">
        <v>1326</v>
      </c>
      <c r="C8" s="979"/>
      <c r="D8" s="979"/>
      <c r="E8" s="979"/>
    </row>
    <row r="9" spans="1:5" ht="17.399999999999999" customHeight="1">
      <c r="A9" s="94"/>
      <c r="B9" s="978" t="s">
        <v>1323</v>
      </c>
      <c r="C9" s="978"/>
      <c r="D9" s="978"/>
      <c r="E9" s="978"/>
    </row>
    <row r="10" spans="1:5" ht="17.399999999999999" customHeight="1">
      <c r="A10" s="94"/>
      <c r="B10" s="978" t="s">
        <v>1324</v>
      </c>
      <c r="C10" s="978"/>
      <c r="D10" s="978"/>
      <c r="E10" s="978"/>
    </row>
    <row r="11" spans="1:5" ht="31.8" customHeight="1">
      <c r="A11" s="94"/>
      <c r="B11" s="978" t="s">
        <v>1325</v>
      </c>
      <c r="C11" s="978"/>
      <c r="D11" s="978"/>
      <c r="E11" s="978"/>
    </row>
    <row r="12" spans="1:5" ht="19.2" customHeight="1">
      <c r="A12" s="94"/>
      <c r="B12" s="145" t="s">
        <v>329</v>
      </c>
      <c r="C12" s="124" t="s">
        <v>1318</v>
      </c>
      <c r="D12" s="419" t="s">
        <v>6</v>
      </c>
      <c r="E12" s="14">
        <f>IF(E7="☑",4,0)</f>
        <v>4</v>
      </c>
    </row>
    <row r="13" spans="1:5" ht="18.600000000000001" customHeight="1">
      <c r="A13" s="94"/>
      <c r="B13" s="980" t="s">
        <v>816</v>
      </c>
      <c r="C13" s="980"/>
      <c r="D13" s="980"/>
      <c r="E13" s="980"/>
    </row>
    <row r="14" spans="1:5" ht="33.6" customHeight="1">
      <c r="A14" s="94"/>
      <c r="B14" s="692" t="s">
        <v>1327</v>
      </c>
      <c r="C14" s="692"/>
      <c r="D14" s="485"/>
      <c r="E14" s="485"/>
    </row>
    <row r="15" spans="1:5" ht="15.6" customHeight="1">
      <c r="A15" s="94"/>
      <c r="B15" s="839" t="s">
        <v>1328</v>
      </c>
      <c r="C15" s="839"/>
      <c r="D15" s="839"/>
      <c r="E15" s="839"/>
    </row>
    <row r="16" spans="1:5" ht="30" customHeight="1">
      <c r="A16" s="94"/>
      <c r="B16" s="109" t="s">
        <v>1317</v>
      </c>
      <c r="C16" s="130" t="s">
        <v>329</v>
      </c>
      <c r="D16" s="110" t="s">
        <v>1273</v>
      </c>
      <c r="E16" s="201" t="s">
        <v>137</v>
      </c>
    </row>
    <row r="17" spans="1:5" ht="30" customHeight="1">
      <c r="A17" s="94"/>
      <c r="B17" s="977" t="s">
        <v>14</v>
      </c>
      <c r="C17" s="417" t="s">
        <v>1295</v>
      </c>
      <c r="D17" s="486">
        <f>'SS CR 1'!D13</f>
        <v>0</v>
      </c>
      <c r="E17" s="487" t="s">
        <v>134</v>
      </c>
    </row>
    <row r="18" spans="1:5" ht="30" customHeight="1">
      <c r="A18" s="94"/>
      <c r="B18" s="977"/>
      <c r="C18" s="417" t="s">
        <v>1294</v>
      </c>
      <c r="D18" s="486">
        <f>'SS CR 1'!D22</f>
        <v>0</v>
      </c>
      <c r="E18" s="487" t="s">
        <v>139</v>
      </c>
    </row>
    <row r="19" spans="1:5" ht="30" customHeight="1">
      <c r="A19" s="94"/>
      <c r="B19" s="977"/>
      <c r="C19" s="417" t="s">
        <v>1296</v>
      </c>
      <c r="D19" s="486">
        <f>'SS CR 1'!D30</f>
        <v>0</v>
      </c>
      <c r="E19" s="487" t="s">
        <v>139</v>
      </c>
    </row>
    <row r="20" spans="1:5" ht="30" customHeight="1">
      <c r="A20" s="94"/>
      <c r="B20" s="417" t="s">
        <v>54</v>
      </c>
      <c r="C20" s="417" t="s">
        <v>1673</v>
      </c>
      <c r="D20" s="486">
        <f>'EE CR 3'!E23</f>
        <v>0</v>
      </c>
      <c r="E20" s="487" t="s">
        <v>139</v>
      </c>
    </row>
    <row r="21" spans="1:5" ht="30" customHeight="1">
      <c r="A21" s="94"/>
      <c r="B21" s="977" t="s">
        <v>52</v>
      </c>
      <c r="C21" s="417" t="s">
        <v>1297</v>
      </c>
      <c r="D21" s="486"/>
      <c r="E21" s="487" t="s">
        <v>139</v>
      </c>
    </row>
    <row r="22" spans="1:5" ht="30" customHeight="1">
      <c r="A22" s="94"/>
      <c r="B22" s="977"/>
      <c r="C22" s="417" t="s">
        <v>1298</v>
      </c>
      <c r="D22" s="486"/>
      <c r="E22" s="487" t="s">
        <v>139</v>
      </c>
    </row>
    <row r="23" spans="1:5" ht="30" customHeight="1">
      <c r="A23" s="94"/>
      <c r="B23" s="977"/>
      <c r="C23" s="417" t="s">
        <v>1299</v>
      </c>
      <c r="D23" s="486">
        <f>MAX('EE CR 2'!G31,'EE CR 2'!N15)</f>
        <v>0</v>
      </c>
      <c r="E23" s="487" t="s">
        <v>139</v>
      </c>
    </row>
    <row r="24" spans="1:5" ht="30" customHeight="1">
      <c r="A24" s="94"/>
      <c r="B24" s="417" t="s">
        <v>64</v>
      </c>
      <c r="C24" s="417" t="s">
        <v>1300</v>
      </c>
      <c r="D24" s="486"/>
      <c r="E24" s="487" t="s">
        <v>139</v>
      </c>
    </row>
    <row r="25" spans="1:5" ht="30" customHeight="1">
      <c r="A25" s="94"/>
      <c r="B25" s="417" t="s">
        <v>1301</v>
      </c>
      <c r="C25" s="417" t="s">
        <v>28</v>
      </c>
      <c r="D25" s="488">
        <f>'WC CR 1'!E13</f>
        <v>8.771929824561403E-2</v>
      </c>
      <c r="E25" s="487" t="s">
        <v>139</v>
      </c>
    </row>
    <row r="26" spans="1:5" ht="30" customHeight="1">
      <c r="A26" s="94"/>
      <c r="B26" s="977" t="s">
        <v>29</v>
      </c>
      <c r="C26" s="417" t="s">
        <v>1302</v>
      </c>
      <c r="D26" s="488">
        <f>'WC CR 2'!E36</f>
        <v>0</v>
      </c>
      <c r="E26" s="487" t="s">
        <v>139</v>
      </c>
    </row>
    <row r="27" spans="1:5" ht="30" customHeight="1">
      <c r="A27" s="94"/>
      <c r="B27" s="977"/>
      <c r="C27" s="417" t="s">
        <v>1303</v>
      </c>
      <c r="D27" s="489">
        <f>'WC CR 2'!N27</f>
        <v>1</v>
      </c>
      <c r="E27" s="487" t="s">
        <v>139</v>
      </c>
    </row>
    <row r="28" spans="1:5" ht="30" customHeight="1">
      <c r="A28" s="94"/>
      <c r="B28" s="977" t="s">
        <v>35</v>
      </c>
      <c r="C28" s="417" t="s">
        <v>1304</v>
      </c>
      <c r="D28" s="488">
        <f>'WC CR 5'!I121</f>
        <v>0</v>
      </c>
      <c r="E28" s="487" t="s">
        <v>139</v>
      </c>
    </row>
    <row r="29" spans="1:5" ht="30" customHeight="1">
      <c r="A29" s="94"/>
      <c r="B29" s="977"/>
      <c r="C29" s="417" t="s">
        <v>1305</v>
      </c>
      <c r="D29" s="486">
        <f>'WC CR 5'!I119</f>
        <v>0</v>
      </c>
      <c r="E29" s="487" t="s">
        <v>139</v>
      </c>
    </row>
    <row r="30" spans="1:5" ht="30" customHeight="1">
      <c r="A30" s="94"/>
      <c r="B30" s="417" t="s">
        <v>37</v>
      </c>
      <c r="C30" s="417" t="s">
        <v>1306</v>
      </c>
      <c r="D30" s="486">
        <f>'WC CR 6'!E9</f>
        <v>0</v>
      </c>
      <c r="E30" s="487" t="s">
        <v>139</v>
      </c>
    </row>
    <row r="31" spans="1:5" ht="30" customHeight="1">
      <c r="A31" s="94"/>
      <c r="B31" s="417" t="s">
        <v>39</v>
      </c>
      <c r="C31" s="417" t="s">
        <v>1307</v>
      </c>
      <c r="D31" s="486">
        <f>'WC CR 7'!E10</f>
        <v>0</v>
      </c>
      <c r="E31" s="487" t="s">
        <v>139</v>
      </c>
    </row>
    <row r="32" spans="1:5" ht="30" customHeight="1">
      <c r="A32" s="94"/>
      <c r="B32" s="977" t="s">
        <v>84</v>
      </c>
      <c r="C32" s="417" t="s">
        <v>1308</v>
      </c>
      <c r="D32" s="486">
        <f>'CN CR 3'!E11</f>
        <v>0</v>
      </c>
      <c r="E32" s="487" t="s">
        <v>139</v>
      </c>
    </row>
    <row r="33" spans="1:5" ht="30" customHeight="1">
      <c r="A33" s="94"/>
      <c r="B33" s="977"/>
      <c r="C33" s="417" t="s">
        <v>1309</v>
      </c>
      <c r="D33" s="486">
        <f>'CN CR 3'!E21</f>
        <v>1</v>
      </c>
      <c r="E33" s="487" t="s">
        <v>139</v>
      </c>
    </row>
    <row r="34" spans="1:5" ht="30" customHeight="1">
      <c r="A34" s="94"/>
      <c r="B34" s="977" t="s">
        <v>77</v>
      </c>
      <c r="C34" s="417" t="s">
        <v>1310</v>
      </c>
      <c r="D34" s="486"/>
      <c r="E34" s="487" t="s">
        <v>139</v>
      </c>
    </row>
    <row r="35" spans="1:5" ht="30" customHeight="1">
      <c r="A35" s="94"/>
      <c r="B35" s="977"/>
      <c r="C35" s="417" t="s">
        <v>1311</v>
      </c>
      <c r="D35" s="486">
        <f>'MS CR 3'!E17</f>
        <v>0</v>
      </c>
      <c r="E35" s="487" t="s">
        <v>139</v>
      </c>
    </row>
    <row r="36" spans="1:5" ht="30" customHeight="1">
      <c r="A36" s="94"/>
      <c r="B36" s="417" t="s">
        <v>95</v>
      </c>
      <c r="C36" s="417" t="s">
        <v>1312</v>
      </c>
      <c r="D36" s="486">
        <f>'EGW CR 1'!H12</f>
        <v>0</v>
      </c>
      <c r="E36" s="487" t="s">
        <v>139</v>
      </c>
    </row>
    <row r="37" spans="1:5" ht="30" customHeight="1">
      <c r="A37" s="94"/>
      <c r="B37" s="417" t="s">
        <v>97</v>
      </c>
      <c r="C37" s="417" t="s">
        <v>1313</v>
      </c>
      <c r="D37" s="486">
        <f>'EGW CR 2'!E44</f>
        <v>0</v>
      </c>
      <c r="E37" s="487" t="s">
        <v>139</v>
      </c>
    </row>
    <row r="38" spans="1:5" ht="30" customHeight="1">
      <c r="A38" s="94"/>
      <c r="B38" s="977" t="s">
        <v>99</v>
      </c>
      <c r="C38" s="417" t="s">
        <v>1314</v>
      </c>
      <c r="D38" s="486">
        <f>'EGW CR 4'!E10</f>
        <v>0</v>
      </c>
      <c r="E38" s="487" t="s">
        <v>139</v>
      </c>
    </row>
    <row r="39" spans="1:5" ht="30" customHeight="1">
      <c r="A39" s="94"/>
      <c r="B39" s="977"/>
      <c r="C39" s="417" t="s">
        <v>1315</v>
      </c>
      <c r="D39" s="486"/>
      <c r="E39" s="487" t="s">
        <v>139</v>
      </c>
    </row>
    <row r="40" spans="1:5" ht="30.6" customHeight="1">
      <c r="A40" s="94"/>
      <c r="B40" s="977"/>
      <c r="C40" s="417" t="s">
        <v>1316</v>
      </c>
      <c r="D40" s="486"/>
      <c r="E40" s="487" t="s">
        <v>139</v>
      </c>
    </row>
    <row r="41" spans="1:5" ht="34.200000000000003" customHeight="1">
      <c r="A41" s="94"/>
      <c r="B41" s="145" t="s">
        <v>329</v>
      </c>
      <c r="C41" s="124" t="s">
        <v>1318</v>
      </c>
      <c r="D41" s="419" t="s">
        <v>6</v>
      </c>
      <c r="E41" s="14">
        <f>MIN(COUNTIF(E17:E40,"☑"),4)</f>
        <v>1</v>
      </c>
    </row>
    <row r="42" spans="1:5">
      <c r="A42" s="94"/>
      <c r="B42" s="136"/>
      <c r="C42" s="124"/>
      <c r="D42" s="136"/>
      <c r="E42" s="124"/>
    </row>
    <row r="43" spans="1:5" ht="13.8" customHeight="1">
      <c r="A43" s="94"/>
      <c r="B43" s="539" t="s">
        <v>129</v>
      </c>
      <c r="C43" s="539"/>
      <c r="D43" s="275" t="s">
        <v>189</v>
      </c>
      <c r="E43" s="11">
        <f>C1</f>
        <v>4</v>
      </c>
    </row>
    <row r="44" spans="1:5" ht="13.8" customHeight="1">
      <c r="A44" s="94"/>
      <c r="B44" s="302"/>
      <c r="C44" s="302"/>
      <c r="D44" s="302"/>
      <c r="E44" s="302"/>
    </row>
    <row r="45" spans="1:5">
      <c r="A45" s="94"/>
      <c r="B45" s="537" t="s">
        <v>1661</v>
      </c>
      <c r="C45" s="537"/>
      <c r="D45" s="537"/>
      <c r="E45" s="537"/>
    </row>
    <row r="46" spans="1:5" ht="17.399999999999999" customHeight="1">
      <c r="A46" s="94"/>
      <c r="B46" s="92" t="s">
        <v>1321</v>
      </c>
      <c r="C46" s="92"/>
      <c r="D46" s="92"/>
      <c r="E46" s="92"/>
    </row>
    <row r="47" spans="1:5" ht="17.399999999999999">
      <c r="A47" s="94"/>
      <c r="B47" s="538" t="s">
        <v>1319</v>
      </c>
      <c r="C47" s="538"/>
      <c r="D47" s="538"/>
      <c r="E47" s="101" t="s">
        <v>139</v>
      </c>
    </row>
    <row r="48" spans="1:5" ht="13.8" customHeight="1">
      <c r="A48" s="94"/>
      <c r="B48" s="560" t="s">
        <v>1320</v>
      </c>
      <c r="C48" s="560"/>
      <c r="D48" s="560"/>
      <c r="E48" s="101" t="s">
        <v>139</v>
      </c>
    </row>
    <row r="49" spans="1:5">
      <c r="A49" s="94"/>
      <c r="B49" s="581" t="s">
        <v>1327</v>
      </c>
      <c r="C49" s="581"/>
      <c r="D49" s="104"/>
      <c r="E49" s="97"/>
    </row>
    <row r="50" spans="1:5" ht="13.8" customHeight="1">
      <c r="A50" s="94"/>
      <c r="B50" s="560" t="s">
        <v>1329</v>
      </c>
      <c r="C50" s="560"/>
      <c r="D50" s="560"/>
      <c r="E50" s="101" t="s">
        <v>139</v>
      </c>
    </row>
    <row r="51" spans="1:5">
      <c r="A51" s="94"/>
      <c r="B51" s="531" t="s">
        <v>147</v>
      </c>
      <c r="C51" s="531"/>
      <c r="D51" s="531"/>
      <c r="E51" s="531"/>
    </row>
    <row r="52" spans="1:5">
      <c r="A52" s="94"/>
      <c r="B52" s="97"/>
      <c r="C52" s="97"/>
      <c r="D52" s="97"/>
      <c r="E52" s="97"/>
    </row>
    <row r="53" spans="1:5">
      <c r="A53" s="94"/>
      <c r="B53" s="97"/>
      <c r="C53" s="97"/>
      <c r="D53" s="97"/>
      <c r="E53" s="97"/>
    </row>
    <row r="54" spans="1:5">
      <c r="A54" s="94"/>
      <c r="B54" s="97"/>
      <c r="C54" s="97"/>
      <c r="D54" s="97"/>
      <c r="E54" s="97"/>
    </row>
    <row r="55" spans="1:5">
      <c r="A55" s="94"/>
      <c r="B55" s="97"/>
      <c r="C55" s="97"/>
      <c r="D55" s="97"/>
      <c r="E55" s="97"/>
    </row>
    <row r="56" spans="1:5">
      <c r="B56" s="97"/>
      <c r="C56" s="97"/>
      <c r="D56" s="97"/>
      <c r="E56" s="97"/>
    </row>
  </sheetData>
  <sheetProtection sheet="1" objects="1" scenarios="1"/>
  <mergeCells count="25">
    <mergeCell ref="B51:E51"/>
    <mergeCell ref="B48:D48"/>
    <mergeCell ref="B50:D50"/>
    <mergeCell ref="B21:B23"/>
    <mergeCell ref="B14:C14"/>
    <mergeCell ref="B15:E15"/>
    <mergeCell ref="B38:B40"/>
    <mergeCell ref="B49:C49"/>
    <mergeCell ref="B26:B27"/>
    <mergeCell ref="B28:B29"/>
    <mergeCell ref="B32:B33"/>
    <mergeCell ref="B34:B35"/>
    <mergeCell ref="B43:C43"/>
    <mergeCell ref="B45:E45"/>
    <mergeCell ref="B47:D47"/>
    <mergeCell ref="B4:E4"/>
    <mergeCell ref="B17:B19"/>
    <mergeCell ref="B5:D5"/>
    <mergeCell ref="B6:D6"/>
    <mergeCell ref="B7:D7"/>
    <mergeCell ref="B9:E9"/>
    <mergeCell ref="B10:E10"/>
    <mergeCell ref="B11:E11"/>
    <mergeCell ref="B8:E8"/>
    <mergeCell ref="B13:E13"/>
  </mergeCells>
  <conditionalFormatting sqref="E41:E42">
    <cfRule type="containsText" dxfId="6" priority="11" operator="containsText" text="Not Compliant">
      <formula>NOT(ISERROR(SEARCH("Not Compliant",E41)))</formula>
    </cfRule>
    <cfRule type="containsText" dxfId="5" priority="12" operator="containsText" text="Compliant">
      <formula>NOT(ISERROR(SEARCH("Compliant",E41)))</formula>
    </cfRule>
  </conditionalFormatting>
  <conditionalFormatting sqref="E12">
    <cfRule type="containsText" dxfId="4" priority="7" operator="containsText" text="Not Compliant">
      <formula>NOT(ISERROR(SEARCH("Not Compliant",E12)))</formula>
    </cfRule>
    <cfRule type="containsText" dxfId="3" priority="8" operator="containsText" text="Compliant">
      <formula>NOT(ISERROR(SEARCH("Compliant",E12)))</formula>
    </cfRule>
  </conditionalFormatting>
  <dataValidations count="2">
    <dataValidation type="decimal" sqref="C1" xr:uid="{00000000-0002-0000-3D00-000000000000}">
      <formula1>0</formula1>
      <formula2>4</formula2>
    </dataValidation>
    <dataValidation type="list" sqref="A1 E47:E48 E50 E17:E40 E7" xr:uid="{00000000-0002-0000-3D00-000001000000}">
      <formula1>"☐,☑"</formula1>
    </dataValidation>
  </dataValidation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dimension ref="A1:E31"/>
  <sheetViews>
    <sheetView topLeftCell="A7" workbookViewId="0">
      <selection activeCell="E21" sqref="E21"/>
    </sheetView>
  </sheetViews>
  <sheetFormatPr defaultRowHeight="13.8"/>
  <cols>
    <col min="1" max="1" width="6" style="93" customWidth="1"/>
    <col min="2" max="2" width="39" style="93" customWidth="1"/>
    <col min="3" max="4" width="26" style="93" customWidth="1"/>
    <col min="5" max="5" width="18" style="93" customWidth="1"/>
    <col min="6" max="16384" width="8.796875" style="93"/>
  </cols>
  <sheetData>
    <row r="1" spans="1:5" ht="17.399999999999999">
      <c r="A1" s="91" t="s">
        <v>134</v>
      </c>
      <c r="B1" s="92" t="s">
        <v>163</v>
      </c>
      <c r="C1" s="9">
        <f>E21</f>
        <v>0</v>
      </c>
      <c r="D1" s="92" t="s">
        <v>317</v>
      </c>
      <c r="E1" s="92">
        <f>IF('Project Info'!$C$8="New Hotel",2,2)</f>
        <v>2</v>
      </c>
    </row>
    <row r="2" spans="1:5" ht="27" customHeight="1">
      <c r="A2" s="94"/>
      <c r="B2" s="532" t="s">
        <v>132</v>
      </c>
      <c r="C2" s="532"/>
      <c r="D2" s="95"/>
      <c r="E2" s="95" t="s">
        <v>131</v>
      </c>
    </row>
    <row r="3" spans="1:5" ht="15.6">
      <c r="A3" s="94"/>
      <c r="B3" s="96" t="s">
        <v>5</v>
      </c>
      <c r="C3" s="97"/>
      <c r="D3" s="97"/>
      <c r="E3" s="97" t="str">
        <f>HYPERLINK("#'Checklist'!A1","Go To Checklist")</f>
        <v>Go To Checklist</v>
      </c>
    </row>
    <row r="4" spans="1:5" ht="50.4" customHeight="1">
      <c r="A4" s="94"/>
      <c r="B4" s="533" t="s">
        <v>710</v>
      </c>
      <c r="C4" s="534"/>
      <c r="D4" s="534"/>
      <c r="E4" s="535"/>
    </row>
    <row r="5" spans="1:5" ht="15.6" customHeight="1">
      <c r="A5" s="94"/>
      <c r="B5" s="528" t="s">
        <v>918</v>
      </c>
      <c r="C5" s="528"/>
      <c r="D5" s="528"/>
      <c r="E5" s="98"/>
    </row>
    <row r="6" spans="1:5" ht="28.8" customHeight="1">
      <c r="A6" s="94"/>
      <c r="B6" s="529" t="s">
        <v>1363</v>
      </c>
      <c r="C6" s="529"/>
      <c r="D6" s="529"/>
      <c r="E6" s="529"/>
    </row>
    <row r="7" spans="1:5" ht="21.6" customHeight="1">
      <c r="A7" s="94"/>
      <c r="B7" s="482" t="s">
        <v>1639</v>
      </c>
      <c r="C7" s="540" t="s">
        <v>1640</v>
      </c>
      <c r="D7" s="541"/>
      <c r="E7" s="542"/>
    </row>
    <row r="8" spans="1:5" ht="19.95" customHeight="1">
      <c r="A8" s="94"/>
      <c r="B8" s="483"/>
      <c r="C8" s="525" t="s">
        <v>1641</v>
      </c>
      <c r="D8" s="526"/>
      <c r="E8" s="527"/>
    </row>
    <row r="9" spans="1:5" ht="19.95" customHeight="1">
      <c r="A9" s="94"/>
      <c r="B9" s="483"/>
      <c r="C9" s="525"/>
      <c r="D9" s="526"/>
      <c r="E9" s="527"/>
    </row>
    <row r="10" spans="1:5" ht="19.95" customHeight="1">
      <c r="A10" s="94"/>
      <c r="B10" s="483"/>
      <c r="C10" s="525"/>
      <c r="D10" s="526"/>
      <c r="E10" s="527"/>
    </row>
    <row r="11" spans="1:5" ht="19.95" customHeight="1">
      <c r="A11" s="94"/>
      <c r="B11" s="483"/>
      <c r="C11" s="525"/>
      <c r="D11" s="526"/>
      <c r="E11" s="527"/>
    </row>
    <row r="12" spans="1:5" ht="19.95" customHeight="1">
      <c r="A12" s="94"/>
      <c r="B12" s="483"/>
      <c r="C12" s="525"/>
      <c r="D12" s="526"/>
      <c r="E12" s="527"/>
    </row>
    <row r="13" spans="1:5" ht="19.95" customHeight="1">
      <c r="A13" s="94"/>
      <c r="B13" s="483"/>
      <c r="C13" s="525"/>
      <c r="D13" s="526"/>
      <c r="E13" s="527"/>
    </row>
    <row r="14" spans="1:5" ht="19.95" customHeight="1">
      <c r="A14" s="94"/>
      <c r="B14" s="483"/>
      <c r="C14" s="525"/>
      <c r="D14" s="526"/>
      <c r="E14" s="527"/>
    </row>
    <row r="15" spans="1:5" ht="19.95" customHeight="1">
      <c r="A15" s="94"/>
      <c r="B15" s="483"/>
      <c r="C15" s="525"/>
      <c r="D15" s="526"/>
      <c r="E15" s="527"/>
    </row>
    <row r="16" spans="1:5" ht="19.95" customHeight="1">
      <c r="A16" s="94"/>
      <c r="B16" s="483"/>
      <c r="C16" s="525"/>
      <c r="D16" s="526"/>
      <c r="E16" s="527"/>
    </row>
    <row r="17" spans="1:5" ht="19.95" customHeight="1">
      <c r="A17" s="94"/>
      <c r="B17" s="483"/>
      <c r="C17" s="525"/>
      <c r="D17" s="526"/>
      <c r="E17" s="527"/>
    </row>
    <row r="18" spans="1:5" ht="19.95" customHeight="1">
      <c r="A18" s="94"/>
      <c r="B18" s="483"/>
      <c r="C18" s="525"/>
      <c r="D18" s="526"/>
      <c r="E18" s="527"/>
    </row>
    <row r="19" spans="1:5" ht="19.95" customHeight="1">
      <c r="B19" s="483"/>
      <c r="C19" s="525"/>
      <c r="D19" s="526"/>
      <c r="E19" s="527"/>
    </row>
    <row r="20" spans="1:5" ht="19.95" customHeight="1">
      <c r="B20" s="536" t="s">
        <v>437</v>
      </c>
      <c r="C20" s="536"/>
      <c r="D20" s="530">
        <f>COUNTIF(B8:B19,"&lt;&gt;")</f>
        <v>0</v>
      </c>
      <c r="E20" s="530"/>
    </row>
    <row r="21" spans="1:5" ht="27.6">
      <c r="B21" s="145" t="s">
        <v>329</v>
      </c>
      <c r="C21" s="124" t="s">
        <v>1362</v>
      </c>
      <c r="D21" s="419" t="s">
        <v>6</v>
      </c>
      <c r="E21" s="14">
        <f>IF(D20&gt;=2,2,IF(D20&gt;=1,1,0))</f>
        <v>0</v>
      </c>
    </row>
    <row r="22" spans="1:5">
      <c r="B22" s="136"/>
      <c r="C22" s="124"/>
      <c r="D22" s="136"/>
      <c r="E22" s="124"/>
    </row>
    <row r="23" spans="1:5">
      <c r="B23" s="539" t="s">
        <v>132</v>
      </c>
      <c r="C23" s="539"/>
      <c r="D23" s="275" t="s">
        <v>189</v>
      </c>
      <c r="E23" s="8">
        <f>C1</f>
        <v>0</v>
      </c>
    </row>
    <row r="24" spans="1:5">
      <c r="B24" s="97"/>
      <c r="C24" s="97"/>
      <c r="D24" s="97"/>
      <c r="E24" s="97"/>
    </row>
    <row r="25" spans="1:5">
      <c r="B25" s="537" t="s">
        <v>1661</v>
      </c>
      <c r="C25" s="537"/>
      <c r="D25" s="537"/>
      <c r="E25" s="537"/>
    </row>
    <row r="26" spans="1:5" ht="17.399999999999999">
      <c r="A26" s="209"/>
      <c r="B26" s="538" t="s">
        <v>1330</v>
      </c>
      <c r="C26" s="538"/>
      <c r="D26" s="538"/>
      <c r="E26" s="101" t="s">
        <v>139</v>
      </c>
    </row>
    <row r="27" spans="1:5" ht="14.4">
      <c r="A27" s="209"/>
      <c r="B27" s="531" t="s">
        <v>147</v>
      </c>
      <c r="C27" s="531"/>
      <c r="D27" s="531"/>
      <c r="E27" s="531"/>
    </row>
    <row r="28" spans="1:5" ht="14.4">
      <c r="A28" s="209"/>
      <c r="B28" s="97"/>
      <c r="C28" s="97"/>
      <c r="D28" s="97"/>
      <c r="E28" s="97"/>
    </row>
    <row r="29" spans="1:5" ht="14.4">
      <c r="A29" s="209"/>
      <c r="B29" s="97"/>
      <c r="C29" s="97"/>
      <c r="D29" s="97"/>
      <c r="E29" s="97"/>
    </row>
    <row r="30" spans="1:5" ht="14.4">
      <c r="A30" s="209"/>
      <c r="B30" s="97"/>
      <c r="C30" s="97"/>
      <c r="D30" s="97"/>
      <c r="E30" s="97"/>
    </row>
    <row r="31" spans="1:5">
      <c r="B31" s="97"/>
      <c r="C31" s="97"/>
      <c r="D31" s="97"/>
      <c r="E31" s="97"/>
    </row>
  </sheetData>
  <sheetProtection sheet="1" objects="1" scenarios="1"/>
  <mergeCells count="23">
    <mergeCell ref="D20:E20"/>
    <mergeCell ref="B27:E27"/>
    <mergeCell ref="B2:C2"/>
    <mergeCell ref="B4:E4"/>
    <mergeCell ref="B20:C20"/>
    <mergeCell ref="B25:E25"/>
    <mergeCell ref="B26:D26"/>
    <mergeCell ref="B23:C23"/>
    <mergeCell ref="C10:E10"/>
    <mergeCell ref="C11:E11"/>
    <mergeCell ref="C12:E12"/>
    <mergeCell ref="C13:E13"/>
    <mergeCell ref="C14:E14"/>
    <mergeCell ref="C7:E7"/>
    <mergeCell ref="C8:E8"/>
    <mergeCell ref="C9:E9"/>
    <mergeCell ref="C18:E18"/>
    <mergeCell ref="C19:E19"/>
    <mergeCell ref="B5:D5"/>
    <mergeCell ref="B6:E6"/>
    <mergeCell ref="C15:E15"/>
    <mergeCell ref="C16:E16"/>
    <mergeCell ref="C17:E17"/>
  </mergeCells>
  <conditionalFormatting sqref="E21:E22">
    <cfRule type="containsText" dxfId="158" priority="5" operator="containsText" text="Not Compliant">
      <formula>NOT(ISERROR(SEARCH("Not Compliant",E21)))</formula>
    </cfRule>
    <cfRule type="containsText" dxfId="157" priority="6" operator="containsText" text="Compliant">
      <formula>NOT(ISERROR(SEARCH("Compliant",E21)))</formula>
    </cfRule>
  </conditionalFormatting>
  <dataValidations count="3">
    <dataValidation type="decimal" sqref="C1" xr:uid="{00000000-0002-0000-3E00-000000000000}">
      <formula1>0</formula1>
      <formula2>2</formula2>
    </dataValidation>
    <dataValidation type="list" sqref="A1 E26" xr:uid="{00000000-0002-0000-3E00-000001000000}">
      <formula1>"☐,☑"</formula1>
    </dataValidation>
    <dataValidation type="list" allowBlank="1" showInputMessage="1" showErrorMessage="1" sqref="C8:E19" xr:uid="{71A60389-A429-4259-9409-BC9E4A07FE99}">
      <formula1>"Project Team, Architect/Designer, MEP Consultant"</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64</vt:i4>
      </vt:variant>
    </vt:vector>
  </HeadingPairs>
  <TitlesOfParts>
    <vt:vector size="64" baseType="lpstr">
      <vt:lpstr>Project Info</vt:lpstr>
      <vt:lpstr>Checklist</vt:lpstr>
      <vt:lpstr>SS MR 1</vt:lpstr>
      <vt:lpstr>SS MR 2</vt:lpstr>
      <vt:lpstr>SS MR 3</vt:lpstr>
      <vt:lpstr>SS CR 1</vt:lpstr>
      <vt:lpstr>SS CR 2</vt:lpstr>
      <vt:lpstr>SS CR 3</vt:lpstr>
      <vt:lpstr>SS CR 4</vt:lpstr>
      <vt:lpstr>WC MR 1</vt:lpstr>
      <vt:lpstr>WC MR 2</vt:lpstr>
      <vt:lpstr>WC CR 1</vt:lpstr>
      <vt:lpstr>WC CR 2</vt:lpstr>
      <vt:lpstr>WC CR 3</vt:lpstr>
      <vt:lpstr>WC CR 4</vt:lpstr>
      <vt:lpstr>WC CR 5</vt:lpstr>
      <vt:lpstr>WC CR 6</vt:lpstr>
      <vt:lpstr>WC CR 7</vt:lpstr>
      <vt:lpstr>WC CR 8</vt:lpstr>
      <vt:lpstr>EE MR 1</vt:lpstr>
      <vt:lpstr>EE MR 2</vt:lpstr>
      <vt:lpstr>EE MR 3</vt:lpstr>
      <vt:lpstr>EE CR 1</vt:lpstr>
      <vt:lpstr>EE CR 2</vt:lpstr>
      <vt:lpstr>EE CR 3</vt:lpstr>
      <vt:lpstr>EE CR 4</vt:lpstr>
      <vt:lpstr>EE CR 5</vt:lpstr>
      <vt:lpstr>EE CR 6</vt:lpstr>
      <vt:lpstr>EE CR 7</vt:lpstr>
      <vt:lpstr>EE CR 8</vt:lpstr>
      <vt:lpstr>EE CR 9</vt:lpstr>
      <vt:lpstr>EE CR 10</vt:lpstr>
      <vt:lpstr>MS MR 1</vt:lpstr>
      <vt:lpstr>MS CR 1</vt:lpstr>
      <vt:lpstr>MS CR 2</vt:lpstr>
      <vt:lpstr>MS CR 3</vt:lpstr>
      <vt:lpstr>MS CR 4</vt:lpstr>
      <vt:lpstr>CN CR 2</vt:lpstr>
      <vt:lpstr>CN CR 3</vt:lpstr>
      <vt:lpstr>Local Items</vt:lpstr>
      <vt:lpstr>CN CR 4</vt:lpstr>
      <vt:lpstr>CN CR 5</vt:lpstr>
      <vt:lpstr>EGW MR 1</vt:lpstr>
      <vt:lpstr>EGW MR 2</vt:lpstr>
      <vt:lpstr>EGW CR 1</vt:lpstr>
      <vt:lpstr>EGW CR 2</vt:lpstr>
      <vt:lpstr>EGW CR 4</vt:lpstr>
      <vt:lpstr>EGW CR 5</vt:lpstr>
      <vt:lpstr>EGW CR 6</vt:lpstr>
      <vt:lpstr>EGW CR 7</vt:lpstr>
      <vt:lpstr>EGW CR 8</vt:lpstr>
      <vt:lpstr>EGW CR 9</vt:lpstr>
      <vt:lpstr>HFB CR 1</vt:lpstr>
      <vt:lpstr>HFB CR 2</vt:lpstr>
      <vt:lpstr>F&amp;B sheet</vt:lpstr>
      <vt:lpstr>Animal Products sheet</vt:lpstr>
      <vt:lpstr>HFB CR 3</vt:lpstr>
      <vt:lpstr>GH CR 1</vt:lpstr>
      <vt:lpstr>GH CR 2</vt:lpstr>
      <vt:lpstr>GH CR 3</vt:lpstr>
      <vt:lpstr>GH CR 4</vt:lpstr>
      <vt:lpstr>GH CR 5</vt:lpstr>
      <vt:lpstr>INN CR 1</vt:lpstr>
      <vt:lpstr>INN CR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Hitesh Kumar</dc:creator>
  <cp:lastModifiedBy>Mavoori Hitesh Kumar</cp:lastModifiedBy>
  <dcterms:created xsi:type="dcterms:W3CDTF">2026-08-12T09:20:41Z</dcterms:created>
  <dcterms:modified xsi:type="dcterms:W3CDTF">2026-10-23T10:51:20Z</dcterms:modified>
</cp:coreProperties>
</file>